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100" windowWidth="13860" windowHeight="8085" activeTab="0"/>
  </bookViews>
  <sheets>
    <sheet name="Documentation" sheetId="1" r:id="rId1"/>
    <sheet name="INPUT" sheetId="2" r:id="rId2"/>
    <sheet name="NORTH FORK" sheetId="3" r:id="rId3"/>
    <sheet name="ARIKAREE" sheetId="4" r:id="rId4"/>
    <sheet name="BUFFALO" sheetId="5" r:id="rId5"/>
    <sheet name="ROCK" sheetId="6" r:id="rId6"/>
    <sheet name="SOUTH FORK" sheetId="7" r:id="rId7"/>
    <sheet name="FRENCHMAN" sheetId="8" r:id="rId8"/>
    <sheet name="DRIFTWOOD" sheetId="9" r:id="rId9"/>
    <sheet name="RED WILLOW" sheetId="10" r:id="rId10"/>
    <sheet name="MEDICINE CREEK" sheetId="11" r:id="rId11"/>
    <sheet name="BEAVER" sheetId="12" r:id="rId12"/>
    <sheet name="SAPPA" sheetId="13" r:id="rId13"/>
    <sheet name="PRAIRIE DOG" sheetId="14" r:id="rId14"/>
    <sheet name="MAINSTEM" sheetId="15" r:id="rId15"/>
    <sheet name="T1" sheetId="16" r:id="rId16"/>
    <sheet name="T2" sheetId="17" r:id="rId17"/>
    <sheet name="T3 A,B,C" sheetId="18" r:id="rId18"/>
    <sheet name="T4 A,B" sheetId="19" r:id="rId19"/>
    <sheet name="T5A" sheetId="20" r:id="rId20"/>
    <sheet name="T5 B,E" sheetId="21" r:id="rId21"/>
    <sheet name="T5 C,D" sheetId="22" r:id="rId22"/>
    <sheet name="Attachment6" sheetId="23" r:id="rId23"/>
    <sheet name="Attachment7" sheetId="24" r:id="rId24"/>
    <sheet name="GM_output" sheetId="25" r:id="rId25"/>
    <sheet name="CourtlandAvLove" sheetId="26" r:id="rId26"/>
    <sheet name="BureauT2" sheetId="27" r:id="rId27"/>
  </sheets>
  <definedNames>
    <definedName name="CanalCUPercent">'INPUT'!$C$148</definedName>
    <definedName name="MI_CUPercent">'INPUT'!$C$150</definedName>
    <definedName name="_xlnm.Print_Area" localSheetId="3">'ARIKAREE'!$A:$B</definedName>
    <definedName name="_xlnm.Print_Area" localSheetId="23">'Attachment7'!$A$1:$K$32</definedName>
    <definedName name="_xlnm.Print_Area" localSheetId="11">'BEAVER'!$A:$B</definedName>
    <definedName name="_xlnm.Print_Area" localSheetId="4">'BUFFALO'!$A:$B</definedName>
    <definedName name="_xlnm.Print_Area" localSheetId="0">'Documentation'!$A$1:$F$16</definedName>
    <definedName name="_xlnm.Print_Area" localSheetId="8">'DRIFTWOOD'!$A:$B</definedName>
    <definedName name="_xlnm.Print_Area" localSheetId="7">'FRENCHMAN'!$A:$B</definedName>
    <definedName name="_xlnm.Print_Area" localSheetId="1">'INPUT'!$A$1:$C$276</definedName>
    <definedName name="_xlnm.Print_Area" localSheetId="14">'MAINSTEM'!$A$1:$C$199</definedName>
    <definedName name="_xlnm.Print_Area" localSheetId="10">'MEDICINE CREEK'!$A:$B</definedName>
    <definedName name="_xlnm.Print_Area" localSheetId="2">'NORTH FORK'!$A$1:$B$66</definedName>
    <definedName name="_xlnm.Print_Area" localSheetId="13">'PRAIRIE DOG'!$A:$B</definedName>
    <definedName name="_xlnm.Print_Area" localSheetId="9">'RED WILLOW'!$A:$B</definedName>
    <definedName name="_xlnm.Print_Area" localSheetId="5">'ROCK'!$A:$B</definedName>
    <definedName name="_xlnm.Print_Area" localSheetId="12">'SAPPA'!$A:$B</definedName>
    <definedName name="_xlnm.Print_Area" localSheetId="6">'SOUTH FORK'!$A:$B</definedName>
    <definedName name="_xlnm.Print_Area" localSheetId="16">'T2'!$A$1:$J$18</definedName>
    <definedName name="_xlnm.Print_Area" localSheetId="17">'T3 A,B,C'!$A$1:$E$26</definedName>
    <definedName name="_xlnm.Print_Area" localSheetId="18">'T4 A,B'!$A$1:$G$15</definedName>
    <definedName name="_xlnm.Print_Area" localSheetId="20">'T5 B,E'!$A$1:$G$19</definedName>
    <definedName name="_xlnm.Print_Area" localSheetId="21">'T5 C,D'!$A$1:$I$14</definedName>
    <definedName name="_xlnm.Print_Area" localSheetId="19">'T5A'!$A$1:$E$8</definedName>
    <definedName name="_xlnm.Print_Titles" localSheetId="3">'ARIKAREE'!$1:$2</definedName>
    <definedName name="_xlnm.Print_Titles" localSheetId="11">'BEAVER'!$1:$2</definedName>
    <definedName name="_xlnm.Print_Titles" localSheetId="4">'BUFFALO'!$1:$2</definedName>
    <definedName name="_xlnm.Print_Titles" localSheetId="8">'DRIFTWOOD'!$1:$2</definedName>
    <definedName name="_xlnm.Print_Titles" localSheetId="7">'FRENCHMAN'!$1:$2</definedName>
    <definedName name="_xlnm.Print_Titles" localSheetId="1">'INPUT'!$1:$2</definedName>
    <definedName name="_xlnm.Print_Titles" localSheetId="14">'MAINSTEM'!$1:$2</definedName>
    <definedName name="_xlnm.Print_Titles" localSheetId="10">'MEDICINE CREEK'!$1:$2</definedName>
    <definedName name="_xlnm.Print_Titles" localSheetId="2">'NORTH FORK'!$1:$2</definedName>
    <definedName name="_xlnm.Print_Titles" localSheetId="13">'PRAIRIE DOG'!$1:$2</definedName>
    <definedName name="_xlnm.Print_Titles" localSheetId="9">'RED WILLOW'!$1:$2</definedName>
    <definedName name="_xlnm.Print_Titles" localSheetId="5">'ROCK'!$1:$2</definedName>
    <definedName name="_xlnm.Print_Titles" localSheetId="12">'SAPPA'!$1:$2</definedName>
    <definedName name="_xlnm.Print_Titles" localSheetId="6">'SOUTH FORK'!$1:$2</definedName>
    <definedName name="PumperCUPercent">'INPUT'!$C$149</definedName>
  </definedNames>
  <calcPr fullCalcOnLoad="1"/>
</workbook>
</file>

<file path=xl/sharedStrings.xml><?xml version="1.0" encoding="utf-8"?>
<sst xmlns="http://schemas.openxmlformats.org/spreadsheetml/2006/main" count="1421" uniqueCount="563">
  <si>
    <t>Colorado</t>
  </si>
  <si>
    <t>Nebraska</t>
  </si>
  <si>
    <t>Unallocated</t>
  </si>
  <si>
    <t>Computed Beneficial Consumptive Use</t>
  </si>
  <si>
    <t>Total</t>
  </si>
  <si>
    <t>Rock</t>
  </si>
  <si>
    <t>Main Stem</t>
  </si>
  <si>
    <t>Basin</t>
  </si>
  <si>
    <t>Total All Basins</t>
  </si>
  <si>
    <t>Table 1: Annual Virgin and Computed Water Supply, Allocations, and Computed Beneficial Consumptive Uses by State, Main Stem, and Sub-Basin</t>
  </si>
  <si>
    <t>Virgin Water Supply</t>
  </si>
  <si>
    <t>Computed Water Supply</t>
  </si>
  <si>
    <t>Allocations</t>
  </si>
  <si>
    <t xml:space="preserve">Kansas </t>
  </si>
  <si>
    <t>North Fork</t>
  </si>
  <si>
    <t>Arikaree</t>
  </si>
  <si>
    <t>Buffalo</t>
  </si>
  <si>
    <t>South Fork</t>
  </si>
  <si>
    <t>Frenchman</t>
  </si>
  <si>
    <t>Driftwood</t>
  </si>
  <si>
    <t>Red Willow</t>
  </si>
  <si>
    <t>Medicine</t>
  </si>
  <si>
    <t>Beaver</t>
  </si>
  <si>
    <t>Sappa</t>
  </si>
  <si>
    <t>Prairie Dog</t>
  </si>
  <si>
    <t>Main Stem Including Unallocated</t>
  </si>
  <si>
    <t>Table 2: Original Compact Virgin Water Supply and Allocations</t>
  </si>
  <si>
    <t>Colorado Allocation</t>
  </si>
  <si>
    <t>% of Basin Supply</t>
  </si>
  <si>
    <t>Kansas Allocation</t>
  </si>
  <si>
    <t>Nebraska Allocation</t>
  </si>
  <si>
    <t>Main Stem + Unallocated</t>
  </si>
  <si>
    <t>Tributaries        Sub-Total</t>
  </si>
  <si>
    <t>Table 3A: Colorado's Five-Year Average Allocation and CBCU</t>
  </si>
  <si>
    <t>Year</t>
  </si>
  <si>
    <t>Allocation</t>
  </si>
  <si>
    <t>Imported Water Supply Credit</t>
  </si>
  <si>
    <t>Average</t>
  </si>
  <si>
    <t>Table 3B: Kansas's Five-Year Average Allocation and CBCU</t>
  </si>
  <si>
    <t>Table 3C: Nebraska's Five-Year Average Allocation and CBCU</t>
  </si>
  <si>
    <t>Table 4A: Colorado's Sub-Basin Non-impairment Compliance</t>
  </si>
  <si>
    <t>Allocation (Five-year Average)</t>
  </si>
  <si>
    <t>Unallocated Supply (Five-year Average)</t>
  </si>
  <si>
    <t>Imported Water Supply Credit (Five-year Average)</t>
  </si>
  <si>
    <t>Total Available Supply</t>
  </si>
  <si>
    <t>Computed Beneficial Consumptive Use (Five-year Average)</t>
  </si>
  <si>
    <t>Available Supply - CBCU</t>
  </si>
  <si>
    <t>Table 4B: Kansas's Sub-Basin Non-impairment Compliance</t>
  </si>
  <si>
    <t>Allocation - Allocation Beaver</t>
  </si>
  <si>
    <t>Computed Beneficial Consumptive Use - CBCU Beaver</t>
  </si>
  <si>
    <t>Imported Water Supply Credit - IWS Beaver</t>
  </si>
  <si>
    <t>Table 5A: Colorado's Compliance During Water-Short Year Administration</t>
  </si>
  <si>
    <t>Table 5B: Kansas's Compliance During Water-Short Year Administration</t>
  </si>
  <si>
    <t>Sub-Basin Total</t>
  </si>
  <si>
    <t>Nebraska's Share of Unallocated Supply</t>
  </si>
  <si>
    <t>Kansas's Share of Unallocated Supply</t>
  </si>
  <si>
    <t>State-Wide Allocation</t>
  </si>
  <si>
    <t>Allocation Below Guide Rock</t>
  </si>
  <si>
    <t>Allocation Above Guide Rock</t>
  </si>
  <si>
    <t>State-Wide CBCU</t>
  </si>
  <si>
    <t>CBCU Below Guide Rock</t>
  </si>
  <si>
    <t>CBCU Above Guide Rock</t>
  </si>
  <si>
    <t>Imported Water Supply Credit above Guide Rock</t>
  </si>
  <si>
    <t>Table 5C: Nebraska's Compliance During Water-Short Year Administration</t>
  </si>
  <si>
    <t>Hardy Gage</t>
  </si>
  <si>
    <t>Superior Courtland Diversion Dam</t>
  </si>
  <si>
    <t>Courtland Canal Diversions</t>
  </si>
  <si>
    <t>Superior Canal Diversion</t>
  </si>
  <si>
    <t>Courtland Canal Returns</t>
  </si>
  <si>
    <t>Superior Canal Returns</t>
  </si>
  <si>
    <t>Total Bostwick Returns Below Guide Rock</t>
  </si>
  <si>
    <t>NE CBCU Below Guide Rock</t>
  </si>
  <si>
    <t>KS CBCU Below Ruide Rock</t>
  </si>
  <si>
    <t>Gain Guide Rock to Hardy</t>
  </si>
  <si>
    <t>VWS Guide Rock to Hardy</t>
  </si>
  <si>
    <t>Mainstem VWS Above Hardy</t>
  </si>
  <si>
    <t>NE MS Allocation Above Hardy</t>
  </si>
  <si>
    <t>KS MS Allocation Above Hardy</t>
  </si>
  <si>
    <t>Nebraska Guide Rock to Hardy Allocation</t>
  </si>
  <si>
    <t>Kansas Guide Rock to Hardy Allocation</t>
  </si>
  <si>
    <t>Total CBCU Below Guide Rock</t>
  </si>
  <si>
    <t>COURTLAND CANAL</t>
  </si>
  <si>
    <t>Spreadsheet name:</t>
  </si>
  <si>
    <t>North Fork Subbasin</t>
  </si>
  <si>
    <t/>
  </si>
  <si>
    <t>Arikaree Subbasin</t>
  </si>
  <si>
    <t>Buffalo Subbasin</t>
  </si>
  <si>
    <t>Rock Subbasin</t>
  </si>
  <si>
    <t>Frenchman Subbasin</t>
  </si>
  <si>
    <t>Driftwood Subbasin</t>
  </si>
  <si>
    <t>Red Willow Subbasin</t>
  </si>
  <si>
    <t>Medicine Creek Subbasin</t>
  </si>
  <si>
    <t>Beaver Subbasin</t>
  </si>
  <si>
    <t>Sappa Subbasin</t>
  </si>
  <si>
    <t>Prairie Dog Subbasin</t>
  </si>
  <si>
    <t>Mainstem Subbasin</t>
  </si>
  <si>
    <t>Calendar Year</t>
  </si>
  <si>
    <t>Groundwater Data</t>
  </si>
  <si>
    <t>Import Water Data</t>
  </si>
  <si>
    <t>SW Pumping Data</t>
  </si>
  <si>
    <t>Stream Gage Data</t>
  </si>
  <si>
    <t>North Fork Republican River At Colorado-Nebraska State Line</t>
  </si>
  <si>
    <t>Arikaree River At Haigler</t>
  </si>
  <si>
    <t>Buffalo Creek Near Haigler</t>
  </si>
  <si>
    <t>Rock Creek At Parks</t>
  </si>
  <si>
    <t>South Fork Republican River Near Benkelman</t>
  </si>
  <si>
    <t>Frenchman Creek At Culbertson</t>
  </si>
  <si>
    <t>Red Willow Creek Near Red Willow</t>
  </si>
  <si>
    <t>Medicine Creek Below Harry Strunk</t>
  </si>
  <si>
    <t>Beaver Creek Near Beaver City</t>
  </si>
  <si>
    <t>Sappa Creek Near Stamford</t>
  </si>
  <si>
    <t>Prairie Dog Creek Near Woodruff</t>
  </si>
  <si>
    <t>Republican River At Guide Rock</t>
  </si>
  <si>
    <t>Republican River Near Hardy</t>
  </si>
  <si>
    <t>White Rock Creek Above Lovewell</t>
  </si>
  <si>
    <t>Flood Flow Data</t>
  </si>
  <si>
    <t>North Fork Flood Flow</t>
  </si>
  <si>
    <t>Arikaree Flood Flow</t>
  </si>
  <si>
    <t>Buffalo Flood Flow</t>
  </si>
  <si>
    <t>Rock Flood Flow</t>
  </si>
  <si>
    <t>Southfork Flood Flow</t>
  </si>
  <si>
    <t>Frenchman Flood Flow</t>
  </si>
  <si>
    <t>Driftwood Flood Flow</t>
  </si>
  <si>
    <t>Red Willow Flood Flow</t>
  </si>
  <si>
    <t>Medicine Creek Flood Flow</t>
  </si>
  <si>
    <t>Beaver Flood Flow</t>
  </si>
  <si>
    <t>Sappa Flood Flow</t>
  </si>
  <si>
    <t>Prairie Dog Flood Flow</t>
  </si>
  <si>
    <t>Mainstem Flood Flow</t>
  </si>
  <si>
    <t>Reservoir Data</t>
  </si>
  <si>
    <t>Bonny Reservoir Evaporation</t>
  </si>
  <si>
    <t>Bonny Reservoir Change In Storage</t>
  </si>
  <si>
    <t>Enders Reservoir Evaporation</t>
  </si>
  <si>
    <t>Enders Reservoir Change In Storage</t>
  </si>
  <si>
    <t>Hugh Butler Lake Evaporation</t>
  </si>
  <si>
    <t>Hugh Butler Lake Change In Storage</t>
  </si>
  <si>
    <t>Harry Strunk Lake Evaporation</t>
  </si>
  <si>
    <t>Harry Strunk Lake Change In Storage</t>
  </si>
  <si>
    <t>Keith Sebelius Lake Evaporation</t>
  </si>
  <si>
    <t>Keith Sebelius Lake Change In Storage</t>
  </si>
  <si>
    <t>Swanson Lake Evaporation</t>
  </si>
  <si>
    <t>Swanson Lake Change In Storage</t>
  </si>
  <si>
    <t>Harlan County Evaporation</t>
  </si>
  <si>
    <t>Harlan County Change In Storage</t>
  </si>
  <si>
    <t>Canal Data</t>
  </si>
  <si>
    <t>Haigler Canal Diversions - Colorado</t>
  </si>
  <si>
    <t>Haigler Canal Diversions - Nebraska</t>
  </si>
  <si>
    <t>Haigler Canal Diversions</t>
  </si>
  <si>
    <t>Hale Ditch Diversions</t>
  </si>
  <si>
    <t>Champion Canal Diversions</t>
  </si>
  <si>
    <t>Riverside Canal Diversions</t>
  </si>
  <si>
    <t>Culbertson Canal Diversions</t>
  </si>
  <si>
    <t>Culbertson Canal Extension Diversions</t>
  </si>
  <si>
    <t>Culbertson Canal % Return Flow</t>
  </si>
  <si>
    <t>Culbertson Canal Extension % Return Flow</t>
  </si>
  <si>
    <t>Meeker-Driftwood Canal Diversions</t>
  </si>
  <si>
    <t>Meeker-Driftwood Canal % Return Flow</t>
  </si>
  <si>
    <t>Red Willow Canal Diversions</t>
  </si>
  <si>
    <t>Red Willow Canal % Return Flow</t>
  </si>
  <si>
    <t>Bartley Canal Diversion</t>
  </si>
  <si>
    <t>Cambridge Canal Diversion</t>
  </si>
  <si>
    <t>Naponee Canal Diversion</t>
  </si>
  <si>
    <t>Franklin Canal Diversion</t>
  </si>
  <si>
    <t>Franklin Pump Canal Diversions</t>
  </si>
  <si>
    <t>Superior Canal Diversions</t>
  </si>
  <si>
    <t>Courtland Canal Diversions At Headgate</t>
  </si>
  <si>
    <t>Courtland Canal At Kansas-Nebraska State Line</t>
  </si>
  <si>
    <t>Courtland Canal Deliveries To Lovewell Reservoir</t>
  </si>
  <si>
    <t>Return Flow To Republican River Above Hardy From Kansas</t>
  </si>
  <si>
    <t>Kansas Bostwick Diversions During Irrigation Season</t>
  </si>
  <si>
    <t>Nebraska Bostwick Diversions During Irrigation Season</t>
  </si>
  <si>
    <t>Bartley Canal % Return Flow</t>
  </si>
  <si>
    <t>Cambridge Canal % Return Flow</t>
  </si>
  <si>
    <t>Naponee Canal % Return Flow</t>
  </si>
  <si>
    <t>Franklin Canal % Return Flow</t>
  </si>
  <si>
    <t>Franklin Pump Canal % Return Flow</t>
  </si>
  <si>
    <t>Superior Canal % Return Flow</t>
  </si>
  <si>
    <t>Courtland Canal Above Lovewell %  Return Flow</t>
  </si>
  <si>
    <t>Courtland Canal Below Lovewell % Return Flow</t>
  </si>
  <si>
    <t>North Fork Republican River Sub-Basin</t>
  </si>
  <si>
    <t>Input Data</t>
  </si>
  <si>
    <t>Groundwater / Model Data</t>
  </si>
  <si>
    <t>Imported Water Nebraska</t>
  </si>
  <si>
    <t>Surface Water Data</t>
  </si>
  <si>
    <t>Kansas</t>
  </si>
  <si>
    <t>Totals</t>
  </si>
  <si>
    <t>Imported Water</t>
  </si>
  <si>
    <t>Nebraska Haigler Canal Return Flow To Main Stem</t>
  </si>
  <si>
    <t>Adjustment For Flood Flows</t>
  </si>
  <si>
    <t>Colorado Percent Of Allocation</t>
  </si>
  <si>
    <t>Kansas Percent Of Allocation</t>
  </si>
  <si>
    <t>Nebraska Percent Of Allocation</t>
  </si>
  <si>
    <t>Total Basin Allocation</t>
  </si>
  <si>
    <t>Percent Of Supply Not Allocated</t>
  </si>
  <si>
    <t>Quantity Of Unallocated Supply</t>
  </si>
  <si>
    <t>SW Diversions - M&amp;I - Colorado</t>
  </si>
  <si>
    <t>SW Diversions - M&amp;I - Nebraska</t>
  </si>
  <si>
    <t>SW Diversions - M&amp;I - Kansas</t>
  </si>
  <si>
    <t>SW Diversions - M&amp;I - Nebraska - Below Gage</t>
  </si>
  <si>
    <t xml:space="preserve">GW Depletion </t>
  </si>
  <si>
    <t>Total CU</t>
  </si>
  <si>
    <t>Mainstem Sub-Basin</t>
  </si>
  <si>
    <t>Surface Water Gages</t>
  </si>
  <si>
    <t>Canal Diversion Data</t>
  </si>
  <si>
    <t>Kansas Surface Water Data</t>
  </si>
  <si>
    <t>Nebraska Surface Water Data</t>
  </si>
  <si>
    <t>Calculations</t>
  </si>
  <si>
    <t>Net Evaporation From Lovewell Reservoir Charged To Republican  River</t>
  </si>
  <si>
    <t>Percent Kansas Bostwick Diversions During Irrigation Season</t>
  </si>
  <si>
    <t>Net Evaporation From Lovewell Charged To Kansas</t>
  </si>
  <si>
    <t>90% Hugh Butler Lake Evap</t>
  </si>
  <si>
    <t>Red Willow Canal Return Flow To Mainstem</t>
  </si>
  <si>
    <t>Culbertson Canal Return Flow To Mainstem</t>
  </si>
  <si>
    <t>Culbertson Canal Extension Return Flow To Mainstem</t>
  </si>
  <si>
    <t>Haigler Canal Return Flow To Mainstem</t>
  </si>
  <si>
    <t>Meeker - Driftwood Canal Return Flow To Driftwood Creek</t>
  </si>
  <si>
    <t>Surface Water Constants</t>
  </si>
  <si>
    <t>GW CBCU Colorado</t>
  </si>
  <si>
    <t>GW CBCU Kansas</t>
  </si>
  <si>
    <t>GW CBCU Nebraska Above Guide Rock</t>
  </si>
  <si>
    <t>GW CBCU Nebraska Below Guide Rock</t>
  </si>
  <si>
    <t>GW CBCU Nebraska</t>
  </si>
  <si>
    <t>90% Red Willow Canal CBCU - Nebraska</t>
  </si>
  <si>
    <t>Arikaree River Sub-Basin</t>
  </si>
  <si>
    <t>Prairie Dog Creek Sub-Basin</t>
  </si>
  <si>
    <t xml:space="preserve">Total </t>
  </si>
  <si>
    <t>Sappa Creek Sub-Basin</t>
  </si>
  <si>
    <t>Beaver Creek Sub-Basin</t>
  </si>
  <si>
    <t>Medicine Creek Sub-Basin</t>
  </si>
  <si>
    <t>Red Willow Creek Sub-Basin</t>
  </si>
  <si>
    <t>Driftwood Creek Sub-Basin</t>
  </si>
  <si>
    <t>24% Meeker Driftwood Canal Return</t>
  </si>
  <si>
    <t>Frenchman Creek Sub-Basin</t>
  </si>
  <si>
    <t>South Fork Republican River Sub-Basin</t>
  </si>
  <si>
    <t>Rock Creek Sub-Basin</t>
  </si>
  <si>
    <t>Buffalo Creek Sub-Basin</t>
  </si>
  <si>
    <t>South Fork Subbasin</t>
  </si>
  <si>
    <t>SW Diversions - Irrigation - Small Pumps - Colorado</t>
  </si>
  <si>
    <t>SW Diversions - Irrigation - Non-Federal Canals - Nebraska</t>
  </si>
  <si>
    <t>SW Diversions - Irrigation - Non-Federal Canals- Kansas</t>
  </si>
  <si>
    <t>SW Diversions - Irrigation - Small Pumps - Kansas</t>
  </si>
  <si>
    <t>SW Diversions - Irrigation - Non-Federal Canals - Nebraska -Below Gage</t>
  </si>
  <si>
    <t>SW CBCU</t>
  </si>
  <si>
    <t>GW CBCU</t>
  </si>
  <si>
    <t>Total SW CBCU</t>
  </si>
  <si>
    <t>Total GW CBCU</t>
  </si>
  <si>
    <t>Total Basin CBCU</t>
  </si>
  <si>
    <t>Colorado CBCU</t>
  </si>
  <si>
    <t>Kansas CBCU</t>
  </si>
  <si>
    <t>Nebraska CBCU</t>
  </si>
  <si>
    <t>90% Red Willow Canal Return Flow To Main Stem</t>
  </si>
  <si>
    <t>SW CBCU Below The Gage</t>
  </si>
  <si>
    <t>Percent Nebraska Diversions During Irrigation Season</t>
  </si>
  <si>
    <t>Net Evaporation From Harlan County Reservoir Charged To Nebraska</t>
  </si>
  <si>
    <t>Harlan County Evaporation Charged To Nebraska</t>
  </si>
  <si>
    <t>SW CBCU - Irrigation - Non Federal Canals</t>
  </si>
  <si>
    <t>SW CBCU - Irrigation - Small Pumps</t>
  </si>
  <si>
    <t>SW CBCU - M&amp;I</t>
  </si>
  <si>
    <t>Hale Ditch CBCU</t>
  </si>
  <si>
    <t>Total CBCU</t>
  </si>
  <si>
    <t>Driftwood Creek Near McCook</t>
  </si>
  <si>
    <t>SW Diversions - Irrigation - Small Pumps -Nebraska - Below Gage</t>
  </si>
  <si>
    <t>Non-Federal SW Consumptive Use</t>
  </si>
  <si>
    <t>Non-Federal Reservoir Evaporation - Colorado</t>
  </si>
  <si>
    <t>Non-Federal Reservoir Evaporation - Nebraska</t>
  </si>
  <si>
    <t>Non-Federal Reservoir Evaporation - Kansas</t>
  </si>
  <si>
    <t>Consumptive Use Calculations</t>
  </si>
  <si>
    <t>Impacts 2003 (acre-feet)</t>
  </si>
  <si>
    <t>Location</t>
  </si>
  <si>
    <t>Pumping</t>
  </si>
  <si>
    <t>Mound</t>
  </si>
  <si>
    <t>Above Swanson</t>
  </si>
  <si>
    <t>Swanson - Harlan</t>
  </si>
  <si>
    <t>Harlan - Guide Rock</t>
  </si>
  <si>
    <t>Guide Rock - Hardy</t>
  </si>
  <si>
    <t>Hugh Butler</t>
  </si>
  <si>
    <t>Bonny</t>
  </si>
  <si>
    <t>Keith Sebelius</t>
  </si>
  <si>
    <t>Enders</t>
  </si>
  <si>
    <t>Harlan</t>
  </si>
  <si>
    <t>Harry Strunk</t>
  </si>
  <si>
    <t>Swanson</t>
  </si>
  <si>
    <t>Mainstem</t>
  </si>
  <si>
    <t>MS's 4 reaches + 2 reservoirs</t>
  </si>
  <si>
    <t>Imported Water Nebraska Above Guide Rock</t>
  </si>
  <si>
    <t>Imported Water Nebraska Below Guide Rock</t>
  </si>
  <si>
    <t>NE above Guide Rock</t>
  </si>
  <si>
    <t>Total of individual sub-basins</t>
  </si>
  <si>
    <t>Almena Canal Diversions</t>
  </si>
  <si>
    <t>Almena Canal % Return Flow</t>
  </si>
  <si>
    <t>SW Diversions - M&amp;I - Nebraska - Below Guide Rock</t>
  </si>
  <si>
    <t>SW Diversions - Irrigation - Non-Federal Canals - Nebraska Below Guide Rock</t>
  </si>
  <si>
    <t>COURTLAND CANAL ABOVE LOVEWELL</t>
  </si>
  <si>
    <t>Records</t>
  </si>
  <si>
    <t>District</t>
  </si>
  <si>
    <t>(3 + 4)</t>
  </si>
  <si>
    <t>(2 - 5)</t>
  </si>
  <si>
    <t>(7 + 8)</t>
  </si>
  <si>
    <t>(3 - 9)</t>
  </si>
  <si>
    <t>6-(6x(3/5))</t>
  </si>
  <si>
    <t>(6-11)x(7/9)</t>
  </si>
  <si>
    <t>(6-11-12)</t>
  </si>
  <si>
    <t>(10 x 7/9)</t>
  </si>
  <si>
    <t>(10 - 14)</t>
  </si>
  <si>
    <t>(4 + 11)</t>
  </si>
  <si>
    <t>(7 + 12 + 14)</t>
  </si>
  <si>
    <t>(8 + 13 + 15)</t>
  </si>
  <si>
    <t>(16+17+18)</t>
  </si>
  <si>
    <t>ALLOCATION</t>
  </si>
  <si>
    <t>TOTAL</t>
  </si>
  <si>
    <t>( = 2)</t>
  </si>
  <si>
    <t>OF LOSSES</t>
  </si>
  <si>
    <t>LOSS IN</t>
  </si>
  <si>
    <t xml:space="preserve">   LOSS IN</t>
  </si>
  <si>
    <t>ABOVE</t>
  </si>
  <si>
    <t>C</t>
  </si>
  <si>
    <t>NEB</t>
  </si>
  <si>
    <t>KAN</t>
  </si>
  <si>
    <t>DEL</t>
  </si>
  <si>
    <t>NEBRASKA</t>
  </si>
  <si>
    <t xml:space="preserve">   KANSAS</t>
  </si>
  <si>
    <t>LOVEWELL</t>
  </si>
  <si>
    <t>H</t>
  </si>
  <si>
    <t>Bost</t>
  </si>
  <si>
    <t>to</t>
  </si>
  <si>
    <t>Courtland</t>
  </si>
  <si>
    <t xml:space="preserve">  Courtland</t>
  </si>
  <si>
    <t>E</t>
  </si>
  <si>
    <t>Use</t>
  </si>
  <si>
    <t>out</t>
  </si>
  <si>
    <t>Loss</t>
  </si>
  <si>
    <t>Lovewell</t>
  </si>
  <si>
    <t>Canal</t>
  </si>
  <si>
    <t xml:space="preserve">     Canal</t>
  </si>
  <si>
    <t>Court</t>
  </si>
  <si>
    <t>Main</t>
  </si>
  <si>
    <t>flow</t>
  </si>
  <si>
    <t>in</t>
  </si>
  <si>
    <t>0.7  to  15.1</t>
  </si>
  <si>
    <t xml:space="preserve"> 15.1 to 34.8</t>
  </si>
  <si>
    <t>0.7  to  34.8</t>
  </si>
  <si>
    <t>K</t>
  </si>
  <si>
    <t>Month</t>
  </si>
  <si>
    <t>0.7</t>
  </si>
  <si>
    <t>15.1</t>
  </si>
  <si>
    <t xml:space="preserve"> 0.7 to 15.1</t>
  </si>
  <si>
    <t>34.8</t>
  </si>
  <si>
    <t>USBR</t>
  </si>
  <si>
    <t>January</t>
  </si>
  <si>
    <t>February</t>
  </si>
  <si>
    <t>March</t>
  </si>
  <si>
    <t>April</t>
  </si>
  <si>
    <t>May</t>
  </si>
  <si>
    <t>June</t>
  </si>
  <si>
    <t>July</t>
  </si>
  <si>
    <t>August</t>
  </si>
  <si>
    <t>September</t>
  </si>
  <si>
    <t>October</t>
  </si>
  <si>
    <t>November</t>
  </si>
  <si>
    <t>December</t>
  </si>
  <si>
    <t>BOSTWICK DIVISION</t>
  </si>
  <si>
    <t>FRANKLIN UNIT</t>
  </si>
  <si>
    <t>HARLAN COUNTY LAKE</t>
  </si>
  <si>
    <t>Data from Corps of Engineers</t>
  </si>
  <si>
    <t>End of</t>
  </si>
  <si>
    <t>FRANKLIN CANAL</t>
  </si>
  <si>
    <t>NAPONEE CANAL</t>
  </si>
  <si>
    <t>(AF)</t>
  </si>
  <si>
    <t>(in.)</t>
  </si>
  <si>
    <t>(Inches)</t>
  </si>
  <si>
    <t>Release</t>
  </si>
  <si>
    <t>Delivered</t>
  </si>
  <si>
    <t>To Canal</t>
  </si>
  <si>
    <t>To Farms</t>
  </si>
  <si>
    <t>Inflow</t>
  </si>
  <si>
    <t>Outflow</t>
  </si>
  <si>
    <t>Gross Evap.</t>
  </si>
  <si>
    <t>Pan Evap.</t>
  </si>
  <si>
    <t>Precip.</t>
  </si>
  <si>
    <t>EOM Content</t>
  </si>
  <si>
    <t xml:space="preserve"> Jan.</t>
  </si>
  <si>
    <t xml:space="preserve"> Feb.</t>
  </si>
  <si>
    <t xml:space="preserve"> Mar.</t>
  </si>
  <si>
    <t xml:space="preserve"> Apr.</t>
  </si>
  <si>
    <t xml:space="preserve"> May</t>
  </si>
  <si>
    <t xml:space="preserve"> June</t>
  </si>
  <si>
    <t xml:space="preserve"> July</t>
  </si>
  <si>
    <t xml:space="preserve"> Aug.</t>
  </si>
  <si>
    <t xml:space="preserve"> Sep.</t>
  </si>
  <si>
    <t xml:space="preserve"> Oct.</t>
  </si>
  <si>
    <t xml:space="preserve"> Nov.</t>
  </si>
  <si>
    <t xml:space="preserve"> Dec.</t>
  </si>
  <si>
    <t xml:space="preserve">              --</t>
  </si>
  <si>
    <t>BOSTWICK DIVISION (Continued)</t>
  </si>
  <si>
    <t>SUPERIOR-COURTLAND UNIT</t>
  </si>
  <si>
    <t>COURTLAND CANAL - ABOVE LOVEWELL</t>
  </si>
  <si>
    <t>FRANKLIN PUMP CANAL      SUPERIOR CANAL</t>
  </si>
  <si>
    <t>NEBRASKA USE</t>
  </si>
  <si>
    <t>KANSAS USE</t>
  </si>
  <si>
    <t>Diverted</t>
  </si>
  <si>
    <t>Diversion</t>
  </si>
  <si>
    <t xml:space="preserve">          Total</t>
  </si>
  <si>
    <t xml:space="preserve">  NOTE:   Acres  irrigated  2003:</t>
  </si>
  <si>
    <t>Franklin Pump Canal - 2,106 acres; Superior Canal - 5,972 acres.</t>
  </si>
  <si>
    <t>Courtland Canal-Nebraska use - 1,967 acres.</t>
  </si>
  <si>
    <t>Courtland Canal-Kansas use - 13,433 acres.</t>
  </si>
  <si>
    <t>COURTLAND UNIT</t>
  </si>
  <si>
    <t>LOVEWELL RESERVOIR</t>
  </si>
  <si>
    <t>Est. Flow</t>
  </si>
  <si>
    <t>COURTLAND (Below)</t>
  </si>
  <si>
    <t>Gross</t>
  </si>
  <si>
    <t>from</t>
  </si>
  <si>
    <t>Evap.</t>
  </si>
  <si>
    <t>Content</t>
  </si>
  <si>
    <t>White Rock</t>
  </si>
  <si>
    <t>Creek (AF)</t>
  </si>
  <si>
    <t>34.8 (AF)</t>
  </si>
  <si>
    <t xml:space="preserve">  NOTE:   Acres  irrigated  2003:   Courtland  Canal  below  Lovewell  - 26,991 acres.</t>
  </si>
  <si>
    <t>Table 2</t>
  </si>
  <si>
    <t>Bureau Courtland Above Lovewell table</t>
  </si>
  <si>
    <t>From Harlan County Split spreadsheet</t>
  </si>
  <si>
    <t>Superior Canal CBCU</t>
  </si>
  <si>
    <t>Franklin Pump Canal CBCU</t>
  </si>
  <si>
    <t>Franklin Canal CBCU</t>
  </si>
  <si>
    <t>Naponee Canal CBCU</t>
  </si>
  <si>
    <t>Meeker-Driftwood Canal CBCU</t>
  </si>
  <si>
    <t>NE Courtland Canal CBCU (includes transportation loss)</t>
  </si>
  <si>
    <t>CBCU Below Gage</t>
  </si>
  <si>
    <t xml:space="preserve">Total  </t>
  </si>
  <si>
    <t>CBCU Below Medicine Creek Gage</t>
  </si>
  <si>
    <t>CBCU Below Beaver Creek Gage</t>
  </si>
  <si>
    <t>CBCU Below Prairie Dog Gage</t>
  </si>
  <si>
    <t>CBCU Below Sappa Creek Gage</t>
  </si>
  <si>
    <t>NA</t>
  </si>
  <si>
    <t>Attachment 7: Calculations of Return Flows from Bureau of Reclamation Canals</t>
  </si>
  <si>
    <t>Col 1</t>
  </si>
  <si>
    <t>Col 2</t>
  </si>
  <si>
    <t>Col 3</t>
  </si>
  <si>
    <t>Col 4</t>
  </si>
  <si>
    <t>Col 5</t>
  </si>
  <si>
    <t>Col 6</t>
  </si>
  <si>
    <t>Col 7</t>
  </si>
  <si>
    <t>Col 8</t>
  </si>
  <si>
    <t>Col 9</t>
  </si>
  <si>
    <t>Col 10</t>
  </si>
  <si>
    <t>Col 11</t>
  </si>
  <si>
    <t xml:space="preserve">Canal </t>
  </si>
  <si>
    <t xml:space="preserve">Spill to </t>
  </si>
  <si>
    <t xml:space="preserve">Field </t>
  </si>
  <si>
    <t>Canal Loss</t>
  </si>
  <si>
    <t xml:space="preserve">Average </t>
  </si>
  <si>
    <t>Field Loss</t>
  </si>
  <si>
    <t>Total Loss</t>
  </si>
  <si>
    <t>Total return</t>
  </si>
  <si>
    <t>Return as</t>
  </si>
  <si>
    <t>Waste-Way</t>
  </si>
  <si>
    <t>Deliveries</t>
  </si>
  <si>
    <t>from District</t>
  </si>
  <si>
    <t>Percent Field</t>
  </si>
  <si>
    <t>to Stream</t>
  </si>
  <si>
    <t>Percent of</t>
  </si>
  <si>
    <t>Factor</t>
  </si>
  <si>
    <t>and Canal</t>
  </si>
  <si>
    <t>from Canal</t>
  </si>
  <si>
    <t>Loss That</t>
  </si>
  <si>
    <t>and Field</t>
  </si>
  <si>
    <t>Returns to</t>
  </si>
  <si>
    <t>the Stream</t>
  </si>
  <si>
    <t>Name Canal</t>
  </si>
  <si>
    <t>Headgate</t>
  </si>
  <si>
    <t>Sum of</t>
  </si>
  <si>
    <t xml:space="preserve">Sum of </t>
  </si>
  <si>
    <t>Col 2 - Col 4</t>
  </si>
  <si>
    <t>1 -Weighted</t>
  </si>
  <si>
    <t>Col 4 x</t>
  </si>
  <si>
    <t>Col 5 +</t>
  </si>
  <si>
    <t xml:space="preserve">Estimated </t>
  </si>
  <si>
    <t>Col 8 x</t>
  </si>
  <si>
    <t>Col 10/Col 2</t>
  </si>
  <si>
    <t>measured</t>
  </si>
  <si>
    <t>Deliveries to</t>
  </si>
  <si>
    <t>Percent Loss*</t>
  </si>
  <si>
    <t>spills to river</t>
  </si>
  <si>
    <t>the field</t>
  </si>
  <si>
    <t>Efficiency of</t>
  </si>
  <si>
    <t>Application</t>
  </si>
  <si>
    <t>System for</t>
  </si>
  <si>
    <t>the District*</t>
  </si>
  <si>
    <t>Example</t>
  </si>
  <si>
    <t>Culbertson</t>
  </si>
  <si>
    <t>Culbertson Extension</t>
  </si>
  <si>
    <t>Meeker - Driftwood</t>
  </si>
  <si>
    <t>Bartley</t>
  </si>
  <si>
    <t>Cambridge</t>
  </si>
  <si>
    <t>Naponee</t>
  </si>
  <si>
    <t>Franklin</t>
  </si>
  <si>
    <t>Franklin Pump</t>
  </si>
  <si>
    <t>Almena</t>
  </si>
  <si>
    <t>Superior</t>
  </si>
  <si>
    <t>Courtland Canal Below Lovewell</t>
  </si>
  <si>
    <t>* The average field efficiencies for each district and percent loss that returns to the stream may be reviewed and, if necessary, changed by the RRCA to improve the accuracy of the estimates.</t>
  </si>
  <si>
    <t>Attachment 6: Computing Water Supplies and Consumptive Use Above Guide Rock</t>
  </si>
  <si>
    <t>Notes on future work:</t>
  </si>
  <si>
    <t>Lovewell operations spreadsheet</t>
  </si>
  <si>
    <t>From Bureau Table 2</t>
  </si>
  <si>
    <t xml:space="preserve">Lovewell Reservoir Ev charged to the Republican River </t>
  </si>
  <si>
    <t>Courtland Canal Above Lovewell CBCU</t>
  </si>
  <si>
    <t>Courtland Canal Below Lovewell CBCU</t>
  </si>
  <si>
    <t>Non-Federal Reservoir Evaporation Data</t>
  </si>
  <si>
    <t>Non-Federal Reservoir Evaporation - Nebraska - Below Gage</t>
  </si>
  <si>
    <t>Last update:</t>
  </si>
  <si>
    <t>Link the input page for returns from Bureau projects to Attachment 7</t>
  </si>
  <si>
    <t>% Non-Federal Canal Diversion Consumed</t>
  </si>
  <si>
    <t>% Small Surface Water Pumps Consumed</t>
  </si>
  <si>
    <t>%  Municipal And Industrial SW Consumed</t>
  </si>
  <si>
    <t>SW Diversions - Irrigation -Non-Federal Canals- Colorado</t>
  </si>
  <si>
    <t>SW Diversions - Irrigation - Small Pumps - Nebraska</t>
  </si>
  <si>
    <t>SW Diversions - Irrigation - Small Pumps - Nebraska Below Guide Rock</t>
  </si>
  <si>
    <t>Federal evaporation spreadsheet</t>
  </si>
  <si>
    <t>17% Culbertson Canal Return Flow to Main Stem</t>
  </si>
  <si>
    <t>100% Culbertson Canal Extension Return Flow to Main Stem</t>
  </si>
  <si>
    <r>
      <t xml:space="preserve">SW Diversions - Irrigation - </t>
    </r>
    <r>
      <rPr>
        <sz val="10"/>
        <rFont val="Arial"/>
        <family val="0"/>
      </rPr>
      <t>Small Pumps -Nebraska - Below Gage</t>
    </r>
  </si>
  <si>
    <r>
      <t xml:space="preserve">Return Flow </t>
    </r>
    <r>
      <rPr>
        <sz val="10"/>
        <rFont val="Arial"/>
        <family val="0"/>
      </rPr>
      <t>From Courtland Canal To Republican River Above Hardy From Kansas</t>
    </r>
  </si>
  <si>
    <r>
      <t xml:space="preserve">Net Evaporation From Harlan </t>
    </r>
    <r>
      <rPr>
        <sz val="10"/>
        <rFont val="Arial"/>
        <family val="0"/>
      </rPr>
      <t>County Reservoir Charged To Kansas</t>
    </r>
  </si>
  <si>
    <t>RRCA_AccountingFor2003.xls</t>
  </si>
  <si>
    <t xml:space="preserve">Revised for Compact Accounting Calculations:  Dec. 17, 2004 </t>
  </si>
  <si>
    <t>Monthly Water Distribution report, column 7</t>
  </si>
  <si>
    <t>Courtland Canal Diversions to the Upper Courtland District</t>
  </si>
  <si>
    <t>Nebraska Courtland</t>
  </si>
  <si>
    <t>Courtland Canal Above Lovewell (KS)</t>
  </si>
  <si>
    <t>Diversions to Nebraska Courtland</t>
  </si>
  <si>
    <t>Monthly Water Distribution report, column 5</t>
  </si>
  <si>
    <t>Nebraska Courtland % Return Flow</t>
  </si>
  <si>
    <t>Attachment 7</t>
  </si>
  <si>
    <t>Courtland Canal, Loss in NE assigned to upper Courtland KS</t>
  </si>
  <si>
    <t xml:space="preserve">Courtland Canal, Loss in NE assigned to delivery to Lovewell </t>
  </si>
  <si>
    <t>Bureau Courtland Above Lovewell table (part of Net supply of upper district)</t>
  </si>
  <si>
    <t>Courtland Canal, Loss assigned to deliveries of water to Lovewell, Stateline to Lovewell</t>
  </si>
  <si>
    <t>To allocate Harlan County evaporation:</t>
  </si>
  <si>
    <t>Diversions of Republican River water from Lovewell Reservoir to the Courtland Canal below Lovewell</t>
  </si>
  <si>
    <t>Included in attachment 7's net supply</t>
  </si>
  <si>
    <t>Courtland Canal Transportation Loss in NE assigned to the Upper Courtland KS that does not recharge</t>
  </si>
  <si>
    <t>Courtland Canal Transportation Loss in NE assigned to deliveries to Lovewell that does not recharge</t>
  </si>
  <si>
    <t>Courtland Canal Transportation Loss from the Stateline to Lovewell that does not return</t>
  </si>
  <si>
    <t>Non-Federal Reservoir Evaporation</t>
  </si>
  <si>
    <t>Total Mainstem CWS</t>
  </si>
  <si>
    <t>Return Flow From Courtland Canal To Republican River Above Hardy From Nebraska</t>
  </si>
  <si>
    <t>SW Return - Irrigation</t>
  </si>
  <si>
    <t>SW Return - M&amp;I</t>
  </si>
  <si>
    <t>KANSAS</t>
  </si>
  <si>
    <t>NOTE:  Acres irrigated 2003: Franklin  Canal - 11,262 acres; Naponee Canal - 1,628 acres.</t>
  </si>
  <si>
    <t xml:space="preserve">Republican River Compact Administration </t>
  </si>
  <si>
    <t>Compact Accounting</t>
  </si>
  <si>
    <t>1/12/2005</t>
  </si>
  <si>
    <t>Unused Allocation from Colorado (5-year running average)</t>
  </si>
  <si>
    <t>Total Available Supply (5-year running average)</t>
  </si>
  <si>
    <t>Allocation -     (CBCU - IWS Credit)</t>
  </si>
  <si>
    <t>Allocation -  CBCU</t>
  </si>
  <si>
    <t>Allocation - CBCU</t>
  </si>
  <si>
    <t>Table 5E: Nebraska's Tributary Compliance During Water-Short Year Administration</t>
  </si>
  <si>
    <t>Table 5D: Nebraska's Compliance Under a Alternative Water-Short Year Administration Plan</t>
  </si>
  <si>
    <t>Difference Between Allocation and (CBCU Minus IWS)</t>
  </si>
  <si>
    <t>Difference Between Allocation and (CBCU Minus IWS) Above Guide Rock</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</si>
</sst>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
    <numFmt numFmtId="167" formatCode="dd\-mmm\-yy"/>
    <numFmt numFmtId="168" formatCode="0.000000"/>
    <numFmt numFmtId="169" formatCode="0.00000"/>
    <numFmt numFmtId="170" formatCode="0.0000"/>
    <numFmt numFmtId="171" formatCode="0.0"/>
    <numFmt numFmtId="172" formatCode="0.000%"/>
    <numFmt numFmtId="173" formatCode="_(* #,##0.0_);_(* \(#,##0.0\);_(* &quot;-&quot;??_);_(@_)"/>
    <numFmt numFmtId="174" formatCode="_(* #,##0_);_(* \(#,##0\);_(* &quot;-&quot;??_);_(@_)"/>
    <numFmt numFmtId="175" formatCode="_(* #,##0.000_);_(* \(#,##0.000\);_(* &quot;-&quot;??_);_(@_)"/>
    <numFmt numFmtId="176" formatCode="0.0000000000"/>
    <numFmt numFmtId="177" formatCode="0.000000000"/>
    <numFmt numFmtId="178" formatCode="0.00000000"/>
    <numFmt numFmtId="179" formatCode="0.0000000"/>
    <numFmt numFmtId="180" formatCode="_(* #,##0.000_);_(* \(#,##0.000\);_(* &quot;-&quot;???_);_(@_)"/>
    <numFmt numFmtId="181" formatCode="#,##0.0_);[Red]\(#,##0.0\)"/>
    <numFmt numFmtId="182" formatCode="&quot;Yes&quot;;&quot;Yes&quot;;&quot;No&quot;"/>
    <numFmt numFmtId="183" formatCode="&quot;True&quot;;&quot;True&quot;;&quot;False&quot;"/>
    <numFmt numFmtId="184" formatCode="&quot;On&quot;;&quot;On&quot;;&quot;Off&quot;"/>
    <numFmt numFmtId="185" formatCode="[$€-2]\ #,##0.00_);[Red]\([$€-2]\ #,##0.00\)"/>
  </numFmts>
  <fonts count="60">
    <font>
      <sz val="10"/>
      <name val="Arial"/>
      <family val="0"/>
    </font>
    <font>
      <u val="single"/>
      <sz val="10"/>
      <color indexed="36"/>
      <name val="Arial"/>
      <family val="0"/>
    </font>
    <font>
      <u val="single"/>
      <sz val="10"/>
      <color indexed="12"/>
      <name val="Arial"/>
      <family val="0"/>
    </font>
    <font>
      <b/>
      <sz val="10"/>
      <name val="Arial"/>
      <family val="2"/>
    </font>
    <font>
      <b/>
      <sz val="12"/>
      <name val="Arial"/>
      <family val="2"/>
    </font>
    <font>
      <sz val="12"/>
      <name val="Arial"/>
      <family val="2"/>
    </font>
    <font>
      <sz val="9"/>
      <name val="Arial"/>
      <family val="2"/>
    </font>
    <font>
      <b/>
      <sz val="9"/>
      <name val="Arial"/>
      <family val="2"/>
    </font>
    <font>
      <sz val="8"/>
      <name val="Arial"/>
      <family val="2"/>
    </font>
    <font>
      <sz val="10"/>
      <color indexed="10"/>
      <name val="Arial"/>
      <family val="2"/>
    </font>
    <font>
      <strike/>
      <sz val="10"/>
      <color indexed="10"/>
      <name val="Arial"/>
      <family val="2"/>
    </font>
    <font>
      <sz val="10"/>
      <color indexed="12"/>
      <name val="Arial"/>
      <family val="2"/>
    </font>
    <font>
      <sz val="10"/>
      <color indexed="52"/>
      <name val="Arial"/>
      <family val="2"/>
    </font>
    <font>
      <sz val="10"/>
      <color indexed="17"/>
      <name val="Arial"/>
      <family val="2"/>
    </font>
    <font>
      <sz val="10"/>
      <color indexed="57"/>
      <name val="Arial"/>
      <family val="2"/>
    </font>
    <font>
      <b/>
      <sz val="24"/>
      <name val="Arial"/>
      <family val="0"/>
    </font>
    <font>
      <sz val="10"/>
      <name val="SWISS"/>
      <family val="0"/>
    </font>
    <font>
      <b/>
      <sz val="10"/>
      <color indexed="8"/>
      <name val="Arial"/>
      <family val="2"/>
    </font>
    <font>
      <sz val="10"/>
      <color indexed="61"/>
      <name val="Arial"/>
      <family val="0"/>
    </font>
    <font>
      <sz val="9"/>
      <name val="SWISS"/>
      <family val="0"/>
    </font>
    <font>
      <sz val="11"/>
      <name val="Arial MT"/>
      <family val="0"/>
    </font>
    <font>
      <b/>
      <sz val="11"/>
      <name val="Arial MT"/>
      <family val="0"/>
    </font>
    <font>
      <sz val="11"/>
      <name val="Arial"/>
      <family val="0"/>
    </font>
    <font>
      <b/>
      <sz val="11"/>
      <name val="Arial"/>
      <family val="2"/>
    </font>
    <font>
      <b/>
      <sz val="16"/>
      <name val="Arial"/>
      <family val="2"/>
    </font>
    <font>
      <sz val="16"/>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style="thin"/>
      <bottom style="double"/>
    </border>
    <border>
      <left style="thin"/>
      <right style="thin"/>
      <top>
        <color indexed="63"/>
      </top>
      <bottom style="thin"/>
    </border>
    <border>
      <left style="thin"/>
      <right>
        <color indexed="63"/>
      </right>
      <top style="thin"/>
      <bottom style="thin"/>
    </border>
    <border>
      <left style="thin"/>
      <right style="thin"/>
      <top>
        <color indexed="63"/>
      </top>
      <bottom style="double"/>
    </border>
    <border>
      <left style="thin"/>
      <right style="thin"/>
      <top style="thin"/>
      <bottom style="dashed"/>
    </border>
    <border>
      <left style="thin"/>
      <right style="thin"/>
      <top style="dashed"/>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double">
        <color indexed="8"/>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style="thin">
        <color indexed="8"/>
      </top>
      <bottom>
        <color indexed="63"/>
      </bottom>
    </border>
    <border>
      <left style="medium">
        <color indexed="8"/>
      </left>
      <right>
        <color indexed="63"/>
      </right>
      <top>
        <color indexed="63"/>
      </top>
      <bottom>
        <color indexed="63"/>
      </bottom>
    </border>
    <border>
      <left style="thin">
        <color indexed="8"/>
      </left>
      <right>
        <color indexed="63"/>
      </right>
      <top style="medium">
        <color indexed="8"/>
      </top>
      <bottom>
        <color indexed="63"/>
      </bottom>
    </border>
    <border>
      <left style="thin">
        <color indexed="8"/>
      </left>
      <right>
        <color indexed="63"/>
      </right>
      <top style="medium">
        <color indexed="8"/>
      </top>
      <bottom style="double">
        <color indexed="8"/>
      </bottom>
    </border>
    <border>
      <left style="medium">
        <color indexed="8"/>
      </left>
      <right>
        <color indexed="63"/>
      </right>
      <top style="medium">
        <color indexed="8"/>
      </top>
      <bottom style="double">
        <color indexed="8"/>
      </bottom>
    </border>
    <border>
      <left style="thin">
        <color indexed="8"/>
      </left>
      <right style="medium">
        <color indexed="8"/>
      </right>
      <top style="medium">
        <color indexed="8"/>
      </top>
      <bottom style="double">
        <color indexed="8"/>
      </bottom>
    </border>
    <border>
      <left style="thin">
        <color indexed="8"/>
      </left>
      <right>
        <color indexed="63"/>
      </right>
      <top style="double">
        <color indexed="8"/>
      </top>
      <bottom>
        <color indexed="63"/>
      </bottom>
    </border>
    <border>
      <left style="medium">
        <color indexed="8"/>
      </left>
      <right>
        <color indexed="63"/>
      </right>
      <top style="double">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1"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5" fillId="0" borderId="0">
      <alignment/>
      <protection/>
    </xf>
    <xf numFmtId="0" fontId="5"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314">
    <xf numFmtId="0" fontId="0" fillId="0" borderId="0" xfId="0" applyAlignment="1">
      <alignment/>
    </xf>
    <xf numFmtId="0" fontId="0" fillId="0" borderId="0" xfId="0" applyBorder="1" applyAlignment="1">
      <alignment/>
    </xf>
    <xf numFmtId="0" fontId="0" fillId="0" borderId="10" xfId="0" applyBorder="1" applyAlignment="1">
      <alignment/>
    </xf>
    <xf numFmtId="0" fontId="3" fillId="0" borderId="0" xfId="0" applyFont="1" applyAlignment="1">
      <alignment/>
    </xf>
    <xf numFmtId="1" fontId="0" fillId="0" borderId="10" xfId="0" applyNumberFormat="1" applyBorder="1" applyAlignment="1">
      <alignment/>
    </xf>
    <xf numFmtId="0" fontId="3" fillId="0" borderId="10" xfId="0" applyFont="1" applyBorder="1" applyAlignment="1">
      <alignment/>
    </xf>
    <xf numFmtId="0" fontId="0" fillId="33" borderId="10" xfId="0" applyFill="1" applyBorder="1" applyAlignment="1" applyProtection="1">
      <alignment horizontal="left"/>
      <protection/>
    </xf>
    <xf numFmtId="164" fontId="0" fillId="0" borderId="0" xfId="0" applyNumberFormat="1" applyAlignment="1">
      <alignment/>
    </xf>
    <xf numFmtId="0" fontId="3" fillId="0" borderId="10" xfId="0" applyFont="1" applyBorder="1" applyAlignment="1">
      <alignment horizontal="left"/>
    </xf>
    <xf numFmtId="0" fontId="0" fillId="0" borderId="10" xfId="0" applyFill="1" applyBorder="1" applyAlignment="1">
      <alignment/>
    </xf>
    <xf numFmtId="0" fontId="4" fillId="0" borderId="10" xfId="0" applyFont="1" applyBorder="1" applyAlignment="1">
      <alignment/>
    </xf>
    <xf numFmtId="0" fontId="4" fillId="0" borderId="10" xfId="0" applyFont="1" applyBorder="1" applyAlignment="1">
      <alignment horizontal="left"/>
    </xf>
    <xf numFmtId="0" fontId="0" fillId="0" borderId="10" xfId="0" applyFont="1" applyBorder="1" applyAlignment="1">
      <alignment horizontal="left"/>
    </xf>
    <xf numFmtId="0" fontId="5" fillId="0" borderId="10" xfId="0" applyFont="1" applyBorder="1" applyAlignment="1">
      <alignment/>
    </xf>
    <xf numFmtId="0" fontId="3" fillId="0" borderId="0" xfId="0" applyFont="1" applyBorder="1" applyAlignment="1">
      <alignment/>
    </xf>
    <xf numFmtId="0" fontId="0" fillId="0" borderId="0" xfId="0" applyBorder="1" applyAlignment="1" applyProtection="1">
      <alignment/>
      <protection/>
    </xf>
    <xf numFmtId="164" fontId="0" fillId="0" borderId="10" xfId="61" applyNumberFormat="1" applyBorder="1" applyAlignment="1">
      <alignment/>
    </xf>
    <xf numFmtId="0" fontId="0" fillId="0" borderId="10" xfId="0" applyFont="1" applyBorder="1" applyAlignment="1">
      <alignment/>
    </xf>
    <xf numFmtId="1" fontId="0" fillId="0" borderId="10" xfId="0" applyNumberFormat="1" applyFont="1" applyBorder="1" applyAlignment="1">
      <alignment horizontal="right"/>
    </xf>
    <xf numFmtId="0" fontId="0" fillId="0" borderId="0" xfId="0" applyFill="1" applyAlignment="1">
      <alignment/>
    </xf>
    <xf numFmtId="9" fontId="0" fillId="0" borderId="10" xfId="0" applyNumberFormat="1" applyBorder="1" applyAlignment="1">
      <alignment/>
    </xf>
    <xf numFmtId="0" fontId="6" fillId="0" borderId="11" xfId="0" applyFont="1" applyBorder="1" applyAlignment="1">
      <alignment horizontal="center"/>
    </xf>
    <xf numFmtId="0" fontId="6" fillId="0" borderId="10"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12" xfId="0" applyFont="1" applyBorder="1" applyAlignment="1">
      <alignment vertical="center" wrapText="1"/>
    </xf>
    <xf numFmtId="3" fontId="6" fillId="0" borderId="10" xfId="0" applyNumberFormat="1" applyFont="1" applyBorder="1" applyAlignment="1">
      <alignment horizontal="center" vertical="center"/>
    </xf>
    <xf numFmtId="3" fontId="6" fillId="0" borderId="12" xfId="0" applyNumberFormat="1" applyFont="1" applyBorder="1" applyAlignment="1">
      <alignment horizontal="center" vertical="center"/>
    </xf>
    <xf numFmtId="3" fontId="6" fillId="0" borderId="13" xfId="0" applyNumberFormat="1" applyFont="1" applyBorder="1" applyAlignment="1">
      <alignment horizontal="center" vertical="center"/>
    </xf>
    <xf numFmtId="0" fontId="6" fillId="0" borderId="10" xfId="0" applyFont="1" applyBorder="1" applyAlignment="1">
      <alignment horizontal="center"/>
    </xf>
    <xf numFmtId="1" fontId="0" fillId="0" borderId="10" xfId="0" applyNumberFormat="1" applyBorder="1" applyAlignment="1">
      <alignment horizontal="right"/>
    </xf>
    <xf numFmtId="0" fontId="7" fillId="0" borderId="14" xfId="0" applyFont="1" applyBorder="1" applyAlignment="1">
      <alignment horizontal="center"/>
    </xf>
    <xf numFmtId="1" fontId="0" fillId="0" borderId="10" xfId="0" applyNumberFormat="1" applyFill="1" applyBorder="1" applyAlignment="1">
      <alignment/>
    </xf>
    <xf numFmtId="0" fontId="6" fillId="0" borderId="10" xfId="0" applyFont="1" applyBorder="1" applyAlignment="1">
      <alignment horizontal="center" wrapText="1"/>
    </xf>
    <xf numFmtId="0" fontId="6" fillId="0" borderId="10" xfId="0" applyFont="1" applyBorder="1" applyAlignment="1">
      <alignment vertical="center" wrapText="1"/>
    </xf>
    <xf numFmtId="3" fontId="6" fillId="0" borderId="10" xfId="0" applyNumberFormat="1" applyFont="1" applyBorder="1" applyAlignment="1">
      <alignment horizontal="center" wrapText="1"/>
    </xf>
    <xf numFmtId="3" fontId="0" fillId="0" borderId="0" xfId="0" applyNumberFormat="1" applyAlignment="1">
      <alignment/>
    </xf>
    <xf numFmtId="164" fontId="6" fillId="0" borderId="10" xfId="0" applyNumberFormat="1" applyFont="1" applyBorder="1" applyAlignment="1">
      <alignment horizontal="center" wrapText="1"/>
    </xf>
    <xf numFmtId="164" fontId="6" fillId="0" borderId="10" xfId="0" applyNumberFormat="1" applyFont="1" applyBorder="1" applyAlignment="1">
      <alignment horizontal="center" vertical="center"/>
    </xf>
    <xf numFmtId="164" fontId="6" fillId="0" borderId="12" xfId="0" applyNumberFormat="1" applyFont="1" applyBorder="1" applyAlignment="1">
      <alignment horizontal="center" vertical="center"/>
    </xf>
    <xf numFmtId="164" fontId="6" fillId="0" borderId="13" xfId="0" applyNumberFormat="1" applyFont="1" applyBorder="1" applyAlignment="1">
      <alignment horizontal="center" vertical="center"/>
    </xf>
    <xf numFmtId="0" fontId="0" fillId="0" borderId="0" xfId="0" applyAlignment="1">
      <alignment horizontal="left"/>
    </xf>
    <xf numFmtId="0" fontId="0" fillId="0" borderId="10" xfId="0" applyBorder="1" applyAlignment="1">
      <alignment horizontal="center" wrapText="1"/>
    </xf>
    <xf numFmtId="0" fontId="0" fillId="0" borderId="10" xfId="0" applyBorder="1" applyAlignment="1">
      <alignment horizontal="center" vertical="center"/>
    </xf>
    <xf numFmtId="0" fontId="0" fillId="0" borderId="12" xfId="0" applyBorder="1" applyAlignment="1">
      <alignment horizontal="center" vertical="center"/>
    </xf>
    <xf numFmtId="3" fontId="0" fillId="0" borderId="12" xfId="0" applyNumberFormat="1" applyBorder="1" applyAlignment="1">
      <alignment horizontal="center" vertical="center"/>
    </xf>
    <xf numFmtId="0" fontId="0" fillId="0" borderId="13" xfId="0" applyBorder="1" applyAlignment="1">
      <alignment horizontal="center" vertical="center"/>
    </xf>
    <xf numFmtId="3" fontId="0" fillId="0" borderId="10" xfId="0" applyNumberFormat="1" applyBorder="1" applyAlignment="1">
      <alignment horizontal="center" vertical="center"/>
    </xf>
    <xf numFmtId="3" fontId="0" fillId="0" borderId="13" xfId="0" applyNumberFormat="1" applyBorder="1" applyAlignment="1">
      <alignment horizontal="center" vertical="center"/>
    </xf>
    <xf numFmtId="3" fontId="0" fillId="0" borderId="15" xfId="0" applyNumberFormat="1" applyBorder="1" applyAlignment="1">
      <alignment horizontal="center" vertical="center"/>
    </xf>
    <xf numFmtId="0" fontId="0" fillId="0" borderId="11" xfId="0" applyBorder="1" applyAlignment="1">
      <alignment horizontal="center" vertical="center"/>
    </xf>
    <xf numFmtId="3" fontId="0" fillId="0" borderId="11" xfId="0" applyNumberFormat="1" applyBorder="1" applyAlignment="1">
      <alignment horizontal="center" vertical="center"/>
    </xf>
    <xf numFmtId="0" fontId="3" fillId="33" borderId="10" xfId="0" applyFont="1" applyFill="1" applyBorder="1" applyAlignment="1" applyProtection="1">
      <alignment horizontal="left"/>
      <protection/>
    </xf>
    <xf numFmtId="0" fontId="0" fillId="0" borderId="0" xfId="0" applyAlignment="1">
      <alignment wrapText="1"/>
    </xf>
    <xf numFmtId="0" fontId="8" fillId="0" borderId="0" xfId="0" applyFont="1" applyAlignment="1">
      <alignment/>
    </xf>
    <xf numFmtId="0" fontId="0" fillId="34" borderId="10" xfId="0" applyFill="1" applyBorder="1" applyAlignment="1">
      <alignment/>
    </xf>
    <xf numFmtId="0" fontId="0" fillId="35" borderId="0" xfId="0" applyFill="1" applyAlignment="1">
      <alignment/>
    </xf>
    <xf numFmtId="0" fontId="0" fillId="35" borderId="10" xfId="0" applyFill="1" applyBorder="1" applyAlignment="1">
      <alignment/>
    </xf>
    <xf numFmtId="0" fontId="0" fillId="35" borderId="10" xfId="0" applyFill="1" applyBorder="1" applyAlignment="1" applyProtection="1">
      <alignment horizontal="left"/>
      <protection/>
    </xf>
    <xf numFmtId="0" fontId="0" fillId="34" borderId="10" xfId="0" applyFill="1" applyBorder="1" applyAlignment="1" applyProtection="1">
      <alignment horizontal="left"/>
      <protection/>
    </xf>
    <xf numFmtId="9" fontId="0" fillId="34" borderId="10" xfId="61" applyFill="1" applyBorder="1" applyAlignment="1" applyProtection="1">
      <alignment/>
      <protection/>
    </xf>
    <xf numFmtId="1" fontId="0" fillId="34" borderId="10" xfId="0" applyNumberFormat="1" applyFill="1" applyBorder="1" applyAlignment="1">
      <alignment/>
    </xf>
    <xf numFmtId="0" fontId="4" fillId="0" borderId="0" xfId="0" applyFont="1" applyAlignment="1">
      <alignment/>
    </xf>
    <xf numFmtId="0" fontId="0" fillId="34" borderId="16" xfId="0" applyFill="1" applyBorder="1" applyAlignment="1">
      <alignment/>
    </xf>
    <xf numFmtId="0" fontId="0" fillId="0" borderId="17" xfId="0" applyFill="1" applyBorder="1" applyAlignment="1">
      <alignment/>
    </xf>
    <xf numFmtId="2" fontId="0" fillId="0" borderId="10" xfId="0" applyNumberFormat="1" applyFill="1" applyBorder="1" applyAlignment="1">
      <alignment/>
    </xf>
    <xf numFmtId="0" fontId="0" fillId="0" borderId="0" xfId="0" applyFont="1" applyAlignment="1">
      <alignment/>
    </xf>
    <xf numFmtId="0" fontId="10" fillId="35" borderId="0" xfId="0" applyFont="1" applyFill="1" applyAlignment="1">
      <alignment/>
    </xf>
    <xf numFmtId="0" fontId="0" fillId="35" borderId="10" xfId="0" applyFont="1" applyFill="1" applyBorder="1" applyAlignment="1">
      <alignment/>
    </xf>
    <xf numFmtId="0" fontId="12" fillId="0" borderId="0" xfId="0" applyFont="1" applyAlignment="1">
      <alignment/>
    </xf>
    <xf numFmtId="0" fontId="11" fillId="0" borderId="0" xfId="0" applyFont="1" applyAlignment="1">
      <alignment/>
    </xf>
    <xf numFmtId="0" fontId="0" fillId="0" borderId="10" xfId="0" applyBorder="1" applyAlignment="1">
      <alignment horizontal="center" vertical="center" wrapText="1"/>
    </xf>
    <xf numFmtId="3" fontId="0" fillId="0" borderId="10" xfId="0" applyNumberFormat="1" applyBorder="1" applyAlignment="1">
      <alignment horizontal="center" vertical="center" wrapText="1"/>
    </xf>
    <xf numFmtId="3" fontId="0" fillId="0" borderId="12" xfId="0" applyNumberFormat="1" applyBorder="1" applyAlignment="1">
      <alignment horizontal="center" vertical="center" wrapText="1"/>
    </xf>
    <xf numFmtId="3" fontId="0" fillId="0" borderId="15" xfId="0" applyNumberFormat="1" applyBorder="1" applyAlignment="1">
      <alignment horizontal="center" vertical="center" wrapText="1"/>
    </xf>
    <xf numFmtId="0" fontId="0" fillId="0" borderId="13" xfId="0" applyBorder="1" applyAlignment="1">
      <alignment horizontal="center" vertical="center" wrapText="1"/>
    </xf>
    <xf numFmtId="3" fontId="0" fillId="0" borderId="13" xfId="0" applyNumberFormat="1" applyBorder="1" applyAlignment="1">
      <alignment horizontal="center" vertical="center" wrapText="1"/>
    </xf>
    <xf numFmtId="0" fontId="13" fillId="0" borderId="0" xfId="0" applyFont="1" applyAlignment="1">
      <alignment/>
    </xf>
    <xf numFmtId="0" fontId="0" fillId="0" borderId="10" xfId="0" applyFont="1" applyFill="1" applyBorder="1" applyAlignment="1">
      <alignment horizontal="left"/>
    </xf>
    <xf numFmtId="164" fontId="0" fillId="0" borderId="10" xfId="61" applyNumberFormat="1" applyFill="1" applyBorder="1" applyAlignment="1">
      <alignment/>
    </xf>
    <xf numFmtId="1" fontId="0" fillId="0" borderId="10" xfId="0" applyNumberFormat="1" applyFont="1" applyBorder="1" applyAlignment="1">
      <alignment/>
    </xf>
    <xf numFmtId="1" fontId="14" fillId="0" borderId="10" xfId="0" applyNumberFormat="1" applyFont="1" applyBorder="1" applyAlignment="1">
      <alignment/>
    </xf>
    <xf numFmtId="0" fontId="0" fillId="0" borderId="10" xfId="0" applyNumberFormat="1" applyFont="1" applyBorder="1" applyAlignment="1">
      <alignment horizontal="left"/>
    </xf>
    <xf numFmtId="0" fontId="11" fillId="0" borderId="0" xfId="0" applyFont="1" applyFill="1" applyAlignment="1">
      <alignment/>
    </xf>
    <xf numFmtId="0" fontId="0" fillId="0" borderId="0" xfId="0" applyFill="1" applyAlignment="1" quotePrefix="1">
      <alignment/>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0" fillId="0" borderId="20" xfId="0" applyBorder="1" applyAlignment="1">
      <alignment horizontal="left" wrapText="1"/>
    </xf>
    <xf numFmtId="0" fontId="0" fillId="0" borderId="20" xfId="0" applyBorder="1" applyAlignment="1">
      <alignment horizontal="right" wrapText="1"/>
    </xf>
    <xf numFmtId="0" fontId="3" fillId="0" borderId="20" xfId="0" applyFont="1" applyBorder="1" applyAlignment="1">
      <alignment horizontal="left" vertical="center" wrapText="1"/>
    </xf>
    <xf numFmtId="0" fontId="3" fillId="0" borderId="20" xfId="0" applyFont="1" applyBorder="1" applyAlignment="1">
      <alignment horizontal="center" vertical="center" wrapText="1"/>
    </xf>
    <xf numFmtId="16" fontId="3" fillId="0" borderId="0" xfId="0" applyNumberFormat="1" applyFont="1" applyAlignment="1" quotePrefix="1">
      <alignment/>
    </xf>
    <xf numFmtId="0" fontId="9" fillId="0" borderId="0" xfId="0" applyFont="1" applyAlignment="1">
      <alignment/>
    </xf>
    <xf numFmtId="0" fontId="13" fillId="0" borderId="0" xfId="0" applyFont="1" applyAlignment="1" quotePrefix="1">
      <alignment/>
    </xf>
    <xf numFmtId="0" fontId="0" fillId="0" borderId="0" xfId="0" applyAlignment="1">
      <alignment/>
    </xf>
    <xf numFmtId="0" fontId="0" fillId="0" borderId="0" xfId="0" applyFill="1" applyAlignment="1">
      <alignment/>
    </xf>
    <xf numFmtId="0" fontId="13" fillId="0" borderId="0" xfId="0" applyFont="1" applyAlignment="1">
      <alignment/>
    </xf>
    <xf numFmtId="0" fontId="0" fillId="0" borderId="0" xfId="0" applyFill="1" applyAlignment="1" quotePrefix="1">
      <alignment/>
    </xf>
    <xf numFmtId="0" fontId="16" fillId="0" borderId="0" xfId="58" applyNumberFormat="1" applyFont="1" applyAlignment="1">
      <alignment horizontal="center"/>
      <protection/>
    </xf>
    <xf numFmtId="0" fontId="16" fillId="0" borderId="0" xfId="58" applyNumberFormat="1" applyFont="1" applyAlignment="1">
      <alignment/>
      <protection/>
    </xf>
    <xf numFmtId="0" fontId="16" fillId="0" borderId="0" xfId="58" applyNumberFormat="1" applyFont="1" applyBorder="1" applyAlignment="1">
      <alignment/>
      <protection/>
    </xf>
    <xf numFmtId="0" fontId="16" fillId="0" borderId="21" xfId="58" applyNumberFormat="1" applyFont="1" applyBorder="1">
      <alignment/>
      <protection/>
    </xf>
    <xf numFmtId="0" fontId="16" fillId="0" borderId="21" xfId="58" applyNumberFormat="1" applyFont="1" applyBorder="1" applyAlignment="1">
      <alignment/>
      <protection/>
    </xf>
    <xf numFmtId="0" fontId="16" fillId="0" borderId="21" xfId="58" applyNumberFormat="1" applyFont="1" applyBorder="1" applyAlignment="1">
      <alignment horizontal="right"/>
      <protection/>
    </xf>
    <xf numFmtId="0" fontId="16" fillId="0" borderId="0" xfId="58" applyNumberFormat="1" applyFont="1" applyBorder="1">
      <alignment/>
      <protection/>
    </xf>
    <xf numFmtId="3" fontId="16" fillId="0" borderId="21" xfId="58" applyNumberFormat="1" applyFont="1" applyBorder="1" applyAlignment="1">
      <alignment/>
      <protection/>
    </xf>
    <xf numFmtId="4" fontId="16" fillId="0" borderId="21" xfId="58" applyNumberFormat="1" applyFont="1" applyBorder="1" applyAlignment="1">
      <alignment/>
      <protection/>
    </xf>
    <xf numFmtId="2" fontId="16" fillId="0" borderId="21" xfId="58" applyNumberFormat="1" applyFont="1" applyBorder="1" applyAlignment="1">
      <alignment/>
      <protection/>
    </xf>
    <xf numFmtId="3" fontId="16" fillId="0" borderId="21" xfId="58" applyNumberFormat="1" applyFont="1" applyBorder="1">
      <alignment/>
      <protection/>
    </xf>
    <xf numFmtId="3" fontId="16" fillId="0" borderId="0" xfId="58" applyNumberFormat="1" applyFont="1" applyAlignment="1">
      <alignment/>
      <protection/>
    </xf>
    <xf numFmtId="4" fontId="16" fillId="0" borderId="0" xfId="58" applyNumberFormat="1" applyFont="1" applyAlignment="1">
      <alignment/>
      <protection/>
    </xf>
    <xf numFmtId="2" fontId="16" fillId="0" borderId="0" xfId="58" applyNumberFormat="1" applyFont="1" applyAlignment="1">
      <alignment/>
      <protection/>
    </xf>
    <xf numFmtId="3" fontId="16" fillId="0" borderId="0" xfId="58" applyNumberFormat="1" applyFont="1">
      <alignment/>
      <protection/>
    </xf>
    <xf numFmtId="3" fontId="16" fillId="0" borderId="22" xfId="58" applyNumberFormat="1" applyFont="1" applyBorder="1" applyAlignment="1">
      <alignment/>
      <protection/>
    </xf>
    <xf numFmtId="2" fontId="16" fillId="0" borderId="22" xfId="58" applyNumberFormat="1" applyFont="1" applyBorder="1" applyAlignment="1">
      <alignment/>
      <protection/>
    </xf>
    <xf numFmtId="3" fontId="16" fillId="0" borderId="22" xfId="58" applyNumberFormat="1" applyFont="1" applyFill="1" applyBorder="1" applyAlignment="1">
      <alignment/>
      <protection/>
    </xf>
    <xf numFmtId="0" fontId="16" fillId="0" borderId="0" xfId="58" applyNumberFormat="1" applyFont="1" applyBorder="1" applyAlignment="1" quotePrefix="1">
      <alignment horizontal="left"/>
      <protection/>
    </xf>
    <xf numFmtId="3" fontId="16" fillId="0" borderId="0" xfId="58" applyNumberFormat="1" applyFont="1" applyBorder="1">
      <alignment/>
      <protection/>
    </xf>
    <xf numFmtId="0" fontId="16" fillId="0" borderId="0" xfId="58" applyNumberFormat="1" applyFont="1">
      <alignment/>
      <protection/>
    </xf>
    <xf numFmtId="0" fontId="16" fillId="0" borderId="22" xfId="58" applyNumberFormat="1" applyFont="1" applyBorder="1" applyAlignment="1">
      <alignment/>
      <protection/>
    </xf>
    <xf numFmtId="0" fontId="16" fillId="0" borderId="0" xfId="58" applyNumberFormat="1" applyFont="1" applyAlignment="1" quotePrefix="1">
      <alignment horizontal="left"/>
      <protection/>
    </xf>
    <xf numFmtId="3" fontId="16" fillId="0" borderId="0" xfId="58" applyNumberFormat="1" applyFont="1" applyBorder="1" applyAlignment="1">
      <alignment/>
      <protection/>
    </xf>
    <xf numFmtId="0" fontId="0" fillId="0" borderId="14" xfId="0" applyBorder="1" applyAlignment="1">
      <alignment horizontal="center"/>
    </xf>
    <xf numFmtId="3" fontId="6" fillId="0" borderId="10" xfId="0" applyNumberFormat="1" applyFont="1" applyFill="1" applyBorder="1" applyAlignment="1">
      <alignment horizontal="center" vertical="center"/>
    </xf>
    <xf numFmtId="0" fontId="3" fillId="0" borderId="0" xfId="0" applyFont="1" applyAlignment="1">
      <alignment horizontal="left" vertical="center"/>
    </xf>
    <xf numFmtId="0" fontId="0" fillId="0" borderId="0" xfId="0" applyAlignment="1">
      <alignment horizontal="left" vertical="center"/>
    </xf>
    <xf numFmtId="0" fontId="0" fillId="0" borderId="23" xfId="0" applyBorder="1" applyAlignment="1">
      <alignment horizontal="right"/>
    </xf>
    <xf numFmtId="0" fontId="0" fillId="0" borderId="24" xfId="0" applyBorder="1" applyAlignment="1">
      <alignment horizontal="right"/>
    </xf>
    <xf numFmtId="0" fontId="18" fillId="0" borderId="10" xfId="0" applyFont="1" applyFill="1" applyBorder="1" applyAlignment="1">
      <alignment vertical="center"/>
    </xf>
    <xf numFmtId="1" fontId="18" fillId="0" borderId="10" xfId="0" applyNumberFormat="1" applyFont="1" applyFill="1" applyBorder="1" applyAlignment="1">
      <alignment vertical="center"/>
    </xf>
    <xf numFmtId="9" fontId="18" fillId="0" borderId="10" xfId="0" applyNumberFormat="1" applyFont="1" applyFill="1" applyBorder="1" applyAlignment="1">
      <alignment vertical="center"/>
    </xf>
    <xf numFmtId="0" fontId="0" fillId="0" borderId="10" xfId="0" applyBorder="1" applyAlignment="1">
      <alignment vertical="justify"/>
    </xf>
    <xf numFmtId="0" fontId="0" fillId="0" borderId="0" xfId="0" applyAlignment="1">
      <alignment horizontal="centerContinuous" vertical="center" wrapText="1"/>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Border="1" applyAlignment="1">
      <alignment/>
    </xf>
    <xf numFmtId="0" fontId="0" fillId="0" borderId="29" xfId="0" applyBorder="1" applyAlignment="1">
      <alignment/>
    </xf>
    <xf numFmtId="0" fontId="0" fillId="0" borderId="27" xfId="0" applyFont="1" applyBorder="1" applyAlignment="1">
      <alignment/>
    </xf>
    <xf numFmtId="0" fontId="17" fillId="0" borderId="10" xfId="0" applyFont="1" applyBorder="1" applyAlignment="1">
      <alignment/>
    </xf>
    <xf numFmtId="0" fontId="3" fillId="0" borderId="0" xfId="0" applyFont="1" applyAlignment="1" quotePrefix="1">
      <alignment/>
    </xf>
    <xf numFmtId="0" fontId="0" fillId="0" borderId="0" xfId="0" applyFont="1" applyFill="1" applyAlignment="1">
      <alignment/>
    </xf>
    <xf numFmtId="0" fontId="0" fillId="0" borderId="10" xfId="0" applyFont="1" applyFill="1" applyBorder="1" applyAlignment="1">
      <alignment/>
    </xf>
    <xf numFmtId="3" fontId="0" fillId="35" borderId="10" xfId="0" applyNumberFormat="1" applyFill="1" applyBorder="1" applyAlignment="1">
      <alignment/>
    </xf>
    <xf numFmtId="3" fontId="0" fillId="0" borderId="10" xfId="0" applyNumberFormat="1" applyFill="1" applyBorder="1" applyAlignment="1">
      <alignment/>
    </xf>
    <xf numFmtId="2" fontId="0" fillId="35" borderId="10" xfId="0" applyNumberFormat="1" applyFill="1" applyBorder="1" applyAlignment="1">
      <alignment/>
    </xf>
    <xf numFmtId="0" fontId="0" fillId="0" borderId="10" xfId="0" applyFont="1" applyBorder="1" applyAlignment="1">
      <alignment/>
    </xf>
    <xf numFmtId="0" fontId="0" fillId="35" borderId="10" xfId="0" applyFont="1" applyFill="1" applyBorder="1" applyAlignment="1">
      <alignment/>
    </xf>
    <xf numFmtId="0" fontId="0" fillId="0" borderId="10" xfId="0" applyFont="1" applyFill="1" applyBorder="1" applyAlignment="1">
      <alignment/>
    </xf>
    <xf numFmtId="0" fontId="0" fillId="34" borderId="10" xfId="0" applyFont="1" applyFill="1" applyBorder="1" applyAlignment="1" applyProtection="1">
      <alignment horizontal="left"/>
      <protection/>
    </xf>
    <xf numFmtId="0" fontId="0" fillId="34" borderId="10" xfId="0" applyFont="1" applyFill="1" applyBorder="1" applyAlignment="1" applyProtection="1">
      <alignment horizontal="right"/>
      <protection/>
    </xf>
    <xf numFmtId="0" fontId="0" fillId="34" borderId="10" xfId="0" applyFont="1" applyFill="1" applyBorder="1" applyAlignment="1">
      <alignment/>
    </xf>
    <xf numFmtId="0" fontId="0" fillId="0" borderId="10" xfId="0" applyFont="1" applyBorder="1" applyAlignment="1" quotePrefix="1">
      <alignment/>
    </xf>
    <xf numFmtId="1" fontId="0" fillId="0" borderId="10" xfId="0" applyNumberFormat="1" applyFont="1" applyBorder="1" applyAlignment="1">
      <alignment/>
    </xf>
    <xf numFmtId="0" fontId="3" fillId="0" borderId="10" xfId="0" applyFont="1" applyBorder="1" applyAlignment="1">
      <alignment horizontal="left"/>
    </xf>
    <xf numFmtId="0" fontId="0" fillId="0" borderId="10" xfId="0" applyFont="1" applyBorder="1" applyAlignment="1">
      <alignment/>
    </xf>
    <xf numFmtId="0" fontId="0" fillId="0" borderId="10" xfId="0" applyFont="1" applyBorder="1" applyAlignment="1">
      <alignment horizontal="left"/>
    </xf>
    <xf numFmtId="1" fontId="0" fillId="0" borderId="10" xfId="0" applyNumberFormat="1" applyFont="1" applyBorder="1" applyAlignment="1">
      <alignment/>
    </xf>
    <xf numFmtId="0" fontId="0" fillId="0" borderId="10" xfId="0" applyFont="1" applyFill="1" applyBorder="1" applyAlignment="1">
      <alignment/>
    </xf>
    <xf numFmtId="0" fontId="3" fillId="0" borderId="10" xfId="0" applyFont="1" applyBorder="1" applyAlignment="1">
      <alignment/>
    </xf>
    <xf numFmtId="0" fontId="4" fillId="0" borderId="10" xfId="0" applyFont="1" applyBorder="1" applyAlignment="1">
      <alignment horizontal="left"/>
    </xf>
    <xf numFmtId="0" fontId="0" fillId="0" borderId="10" xfId="0" applyFont="1" applyBorder="1" applyAlignment="1">
      <alignment/>
    </xf>
    <xf numFmtId="1" fontId="0" fillId="0" borderId="10" xfId="0" applyNumberFormat="1" applyFont="1" applyBorder="1" applyAlignment="1">
      <alignment/>
    </xf>
    <xf numFmtId="0" fontId="0" fillId="0" borderId="10" xfId="0" applyFont="1" applyFill="1" applyBorder="1" applyAlignment="1">
      <alignment/>
    </xf>
    <xf numFmtId="0" fontId="5" fillId="0" borderId="10" xfId="0" applyFont="1" applyBorder="1" applyAlignment="1">
      <alignment/>
    </xf>
    <xf numFmtId="164" fontId="0" fillId="0" borderId="10" xfId="61" applyNumberFormat="1" applyFont="1" applyBorder="1" applyAlignment="1">
      <alignment/>
    </xf>
    <xf numFmtId="0" fontId="0" fillId="33" borderId="10" xfId="0" applyFont="1" applyFill="1" applyBorder="1" applyAlignment="1" applyProtection="1">
      <alignment horizontal="left"/>
      <protection/>
    </xf>
    <xf numFmtId="1" fontId="0" fillId="0" borderId="10" xfId="0" applyNumberFormat="1" applyFont="1" applyFill="1" applyBorder="1" applyAlignment="1">
      <alignment/>
    </xf>
    <xf numFmtId="0" fontId="0" fillId="0" borderId="10" xfId="0" applyFont="1" applyFill="1" applyBorder="1" applyAlignment="1" applyProtection="1">
      <alignment horizontal="left"/>
      <protection/>
    </xf>
    <xf numFmtId="0" fontId="0" fillId="0" borderId="10" xfId="0" applyFont="1" applyBorder="1" applyAlignment="1" quotePrefix="1">
      <alignment/>
    </xf>
    <xf numFmtId="164" fontId="0" fillId="0" borderId="10" xfId="61" applyNumberFormat="1" applyFont="1" applyBorder="1" applyAlignment="1">
      <alignment/>
    </xf>
    <xf numFmtId="0" fontId="0" fillId="34" borderId="10" xfId="0" applyFont="1" applyFill="1" applyBorder="1" applyAlignment="1">
      <alignment/>
    </xf>
    <xf numFmtId="0" fontId="0" fillId="33" borderId="10" xfId="0" applyFont="1" applyFill="1" applyBorder="1" applyAlignment="1" applyProtection="1">
      <alignment horizontal="left"/>
      <protection/>
    </xf>
    <xf numFmtId="0" fontId="4" fillId="0" borderId="10" xfId="0" applyFont="1" applyBorder="1" applyAlignment="1">
      <alignment/>
    </xf>
    <xf numFmtId="1" fontId="0" fillId="0" borderId="10" xfId="0" applyNumberFormat="1" applyFont="1" applyFill="1" applyBorder="1" applyAlignment="1">
      <alignment/>
    </xf>
    <xf numFmtId="1" fontId="0" fillId="0" borderId="10" xfId="0" applyNumberFormat="1" applyFont="1" applyBorder="1" applyAlignment="1">
      <alignment horizontal="right"/>
    </xf>
    <xf numFmtId="1" fontId="0" fillId="0" borderId="10" xfId="0" applyNumberFormat="1" applyFont="1" applyFill="1" applyBorder="1" applyAlignment="1">
      <alignment/>
    </xf>
    <xf numFmtId="0" fontId="5" fillId="0" borderId="10" xfId="0" applyFont="1" applyFill="1" applyBorder="1" applyAlignment="1">
      <alignment/>
    </xf>
    <xf numFmtId="164" fontId="0" fillId="0" borderId="10" xfId="61" applyNumberFormat="1" applyFont="1" applyFill="1" applyBorder="1" applyAlignment="1">
      <alignment/>
    </xf>
    <xf numFmtId="0" fontId="13" fillId="0" borderId="0" xfId="0" applyFont="1" applyFill="1" applyAlignment="1">
      <alignment/>
    </xf>
    <xf numFmtId="0" fontId="13" fillId="0" borderId="0" xfId="0" applyFont="1" applyFill="1" applyAlignment="1">
      <alignment/>
    </xf>
    <xf numFmtId="1" fontId="0" fillId="0" borderId="0" xfId="0" applyNumberFormat="1" applyFill="1" applyAlignment="1">
      <alignment/>
    </xf>
    <xf numFmtId="1" fontId="5" fillId="0" borderId="10" xfId="0" applyNumberFormat="1" applyFont="1" applyFill="1" applyBorder="1" applyAlignment="1">
      <alignment/>
    </xf>
    <xf numFmtId="1" fontId="0" fillId="0" borderId="10" xfId="61" applyNumberFormat="1" applyFill="1" applyBorder="1" applyAlignment="1">
      <alignment/>
    </xf>
    <xf numFmtId="9" fontId="0" fillId="34" borderId="10" xfId="61" applyFont="1" applyFill="1" applyBorder="1" applyAlignment="1" applyProtection="1">
      <alignment/>
      <protection/>
    </xf>
    <xf numFmtId="1" fontId="0" fillId="34" borderId="10" xfId="0" applyNumberFormat="1" applyFont="1" applyFill="1" applyBorder="1" applyAlignment="1">
      <alignment/>
    </xf>
    <xf numFmtId="0" fontId="0" fillId="33" borderId="10" xfId="0" applyFont="1" applyFill="1" applyBorder="1" applyAlignment="1" applyProtection="1">
      <alignment horizontal="left"/>
      <protection/>
    </xf>
    <xf numFmtId="0" fontId="0" fillId="34" borderId="10" xfId="0" applyFont="1" applyFill="1" applyBorder="1" applyAlignment="1" applyProtection="1">
      <alignment/>
      <protection/>
    </xf>
    <xf numFmtId="0" fontId="0" fillId="33" borderId="10" xfId="0" applyFont="1" applyFill="1" applyBorder="1" applyAlignment="1" applyProtection="1">
      <alignment horizontal="left" indent="1"/>
      <protection/>
    </xf>
    <xf numFmtId="0" fontId="0" fillId="0" borderId="10" xfId="0" applyFont="1" applyFill="1" applyBorder="1" applyAlignment="1" applyProtection="1">
      <alignment horizontal="left"/>
      <protection/>
    </xf>
    <xf numFmtId="10" fontId="0" fillId="0" borderId="10" xfId="61" applyNumberFormat="1" applyFont="1" applyFill="1" applyBorder="1" applyAlignment="1">
      <alignment/>
    </xf>
    <xf numFmtId="0" fontId="0" fillId="33" borderId="10" xfId="0" applyFont="1" applyFill="1" applyBorder="1" applyAlignment="1" applyProtection="1">
      <alignment horizontal="left"/>
      <protection/>
    </xf>
    <xf numFmtId="1" fontId="0" fillId="0" borderId="10" xfId="0" applyNumberFormat="1" applyFont="1" applyFill="1" applyBorder="1" applyAlignment="1">
      <alignment horizontal="right"/>
    </xf>
    <xf numFmtId="0" fontId="0" fillId="33" borderId="10" xfId="0" applyFont="1" applyFill="1" applyBorder="1" applyAlignment="1" applyProtection="1">
      <alignment horizontal="left" indent="1"/>
      <protection/>
    </xf>
    <xf numFmtId="0" fontId="3" fillId="0" borderId="10" xfId="0" applyFont="1" applyFill="1" applyBorder="1" applyAlignment="1">
      <alignment horizontal="left"/>
    </xf>
    <xf numFmtId="1" fontId="0" fillId="0" borderId="10" xfId="0" applyNumberFormat="1" applyFont="1" applyBorder="1" applyAlignment="1">
      <alignment horizontal="left"/>
    </xf>
    <xf numFmtId="1" fontId="0" fillId="33" borderId="10" xfId="0" applyNumberFormat="1" applyFont="1" applyFill="1" applyBorder="1" applyAlignment="1" applyProtection="1">
      <alignment horizontal="left"/>
      <protection/>
    </xf>
    <xf numFmtId="1" fontId="0" fillId="0" borderId="10" xfId="0" applyNumberFormat="1" applyFont="1" applyFill="1" applyBorder="1" applyAlignment="1">
      <alignment/>
    </xf>
    <xf numFmtId="1" fontId="0" fillId="0" borderId="10" xfId="0" applyNumberFormat="1" applyFont="1" applyFill="1" applyBorder="1" applyAlignment="1">
      <alignment horizontal="right"/>
    </xf>
    <xf numFmtId="0" fontId="0" fillId="0" borderId="0" xfId="0" applyFont="1" applyAlignment="1">
      <alignment/>
    </xf>
    <xf numFmtId="0" fontId="0" fillId="0" borderId="0" xfId="0" applyFont="1" applyFill="1" applyAlignment="1">
      <alignment wrapText="1"/>
    </xf>
    <xf numFmtId="0" fontId="0" fillId="0" borderId="10" xfId="0" applyFont="1" applyFill="1" applyBorder="1" applyAlignment="1">
      <alignment horizontal="left" indent="1"/>
    </xf>
    <xf numFmtId="0" fontId="0" fillId="0" borderId="10" xfId="0" applyFont="1" applyFill="1" applyBorder="1" applyAlignment="1">
      <alignment/>
    </xf>
    <xf numFmtId="1" fontId="0" fillId="0" borderId="10" xfId="0" applyNumberFormat="1" applyFont="1" applyBorder="1" applyAlignment="1">
      <alignment horizontal="left"/>
    </xf>
    <xf numFmtId="0" fontId="0" fillId="0" borderId="10" xfId="0" applyFont="1" applyFill="1" applyBorder="1" applyAlignment="1">
      <alignment horizontal="right"/>
    </xf>
    <xf numFmtId="0" fontId="0" fillId="0" borderId="10" xfId="0" applyFont="1" applyBorder="1" applyAlignment="1">
      <alignment/>
    </xf>
    <xf numFmtId="0" fontId="0" fillId="35" borderId="30" xfId="0" applyFill="1" applyBorder="1" applyAlignment="1">
      <alignment/>
    </xf>
    <xf numFmtId="0" fontId="3" fillId="35" borderId="10" xfId="0" applyFont="1" applyFill="1" applyBorder="1" applyAlignment="1">
      <alignment/>
    </xf>
    <xf numFmtId="9" fontId="0" fillId="34" borderId="10" xfId="0" applyNumberFormat="1" applyFill="1" applyBorder="1" applyAlignment="1">
      <alignment/>
    </xf>
    <xf numFmtId="0" fontId="0" fillId="34" borderId="0" xfId="0" applyFill="1" applyAlignment="1">
      <alignment/>
    </xf>
    <xf numFmtId="0" fontId="0" fillId="34" borderId="0" xfId="0" applyFill="1" applyAlignment="1">
      <alignment wrapText="1"/>
    </xf>
    <xf numFmtId="0" fontId="0" fillId="0" borderId="0" xfId="0" applyFont="1" applyFill="1" applyAlignment="1">
      <alignment/>
    </xf>
    <xf numFmtId="0" fontId="3" fillId="0" borderId="18" xfId="0" applyFont="1" applyBorder="1" applyAlignment="1">
      <alignment horizontal="left" vertical="center" wrapText="1"/>
    </xf>
    <xf numFmtId="0" fontId="0" fillId="0" borderId="10" xfId="0" applyFill="1" applyBorder="1" applyAlignment="1">
      <alignment horizontal="left" wrapText="1"/>
    </xf>
    <xf numFmtId="3" fontId="0" fillId="0" borderId="0" xfId="0" applyNumberFormat="1" applyFont="1" applyAlignment="1">
      <alignment/>
    </xf>
    <xf numFmtId="0" fontId="3" fillId="0" borderId="0" xfId="0" applyFont="1" applyAlignment="1">
      <alignment wrapText="1"/>
    </xf>
    <xf numFmtId="3" fontId="0" fillId="0" borderId="10" xfId="0" applyNumberFormat="1" applyFill="1" applyBorder="1" applyAlignment="1">
      <alignment horizontal="center"/>
    </xf>
    <xf numFmtId="3" fontId="0" fillId="0" borderId="10" xfId="0" applyNumberFormat="1" applyBorder="1" applyAlignment="1">
      <alignment horizontal="center"/>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31" xfId="0" applyBorder="1" applyAlignment="1">
      <alignment/>
    </xf>
    <xf numFmtId="0" fontId="0" fillId="0" borderId="32" xfId="0" applyBorder="1" applyAlignment="1">
      <alignment/>
    </xf>
    <xf numFmtId="0" fontId="0" fillId="0" borderId="32" xfId="0" applyFont="1" applyBorder="1" applyAlignment="1">
      <alignment/>
    </xf>
    <xf numFmtId="0" fontId="0" fillId="0" borderId="14" xfId="0" applyBorder="1" applyAlignment="1">
      <alignment/>
    </xf>
    <xf numFmtId="0" fontId="0" fillId="0" borderId="23" xfId="0" applyBorder="1" applyAlignment="1">
      <alignment/>
    </xf>
    <xf numFmtId="0" fontId="0" fillId="0" borderId="23" xfId="0" applyFont="1" applyBorder="1" applyAlignment="1">
      <alignment/>
    </xf>
    <xf numFmtId="3" fontId="0" fillId="0" borderId="13" xfId="0" applyNumberFormat="1" applyFont="1" applyBorder="1" applyAlignment="1">
      <alignment/>
    </xf>
    <xf numFmtId="0" fontId="0" fillId="0" borderId="29" xfId="0" applyFont="1" applyBorder="1" applyAlignment="1">
      <alignment/>
    </xf>
    <xf numFmtId="0" fontId="0" fillId="0" borderId="26" xfId="0" applyFont="1" applyBorder="1" applyAlignment="1">
      <alignment/>
    </xf>
    <xf numFmtId="1" fontId="0" fillId="0" borderId="11" xfId="0" applyNumberFormat="1" applyBorder="1" applyAlignment="1">
      <alignment/>
    </xf>
    <xf numFmtId="1" fontId="0" fillId="0" borderId="13" xfId="0" applyNumberFormat="1" applyFont="1" applyBorder="1" applyAlignment="1">
      <alignment/>
    </xf>
    <xf numFmtId="3" fontId="0" fillId="0" borderId="10" xfId="0" applyNumberFormat="1" applyFont="1" applyBorder="1" applyAlignment="1">
      <alignment/>
    </xf>
    <xf numFmtId="0" fontId="0" fillId="0" borderId="27" xfId="0" applyFont="1" applyBorder="1" applyAlignment="1">
      <alignment/>
    </xf>
    <xf numFmtId="1" fontId="0" fillId="0" borderId="33" xfId="0" applyNumberFormat="1" applyBorder="1" applyAlignment="1">
      <alignment/>
    </xf>
    <xf numFmtId="1" fontId="0" fillId="0" borderId="24" xfId="0" applyNumberFormat="1" applyBorder="1" applyAlignment="1">
      <alignment/>
    </xf>
    <xf numFmtId="0" fontId="0" fillId="0" borderId="29" xfId="0" applyBorder="1" applyAlignment="1">
      <alignment/>
    </xf>
    <xf numFmtId="3" fontId="0" fillId="0" borderId="0" xfId="0" applyNumberFormat="1" applyFont="1" applyBorder="1" applyAlignment="1">
      <alignment/>
    </xf>
    <xf numFmtId="0" fontId="20" fillId="0" borderId="34" xfId="57" applyNumberFormat="1" applyFont="1" applyBorder="1" applyAlignment="1">
      <alignment/>
      <protection/>
    </xf>
    <xf numFmtId="0" fontId="20" fillId="0" borderId="0" xfId="57" applyNumberFormat="1" applyFont="1" applyAlignment="1">
      <alignment/>
      <protection/>
    </xf>
    <xf numFmtId="0" fontId="21" fillId="0" borderId="0" xfId="57" applyNumberFormat="1" applyFont="1" applyAlignment="1">
      <alignment horizontal="center"/>
      <protection/>
    </xf>
    <xf numFmtId="0" fontId="21" fillId="0" borderId="0" xfId="0" applyFont="1" applyAlignment="1">
      <alignment/>
    </xf>
    <xf numFmtId="0" fontId="22" fillId="0" borderId="0" xfId="0" applyFont="1" applyAlignment="1">
      <alignment/>
    </xf>
    <xf numFmtId="0" fontId="20" fillId="0" borderId="35" xfId="57" applyNumberFormat="1" applyFont="1" applyBorder="1" applyAlignment="1">
      <alignment horizontal="center"/>
      <protection/>
    </xf>
    <xf numFmtId="0" fontId="20" fillId="0" borderId="35" xfId="57" applyNumberFormat="1" applyFont="1" applyBorder="1" applyAlignment="1">
      <alignment/>
      <protection/>
    </xf>
    <xf numFmtId="0" fontId="20" fillId="0" borderId="35" xfId="57" applyNumberFormat="1" applyFont="1" applyBorder="1" applyAlignment="1" applyProtection="1">
      <alignment/>
      <protection locked="0"/>
    </xf>
    <xf numFmtId="0" fontId="20" fillId="0" borderId="36" xfId="57" applyNumberFormat="1" applyFont="1" applyBorder="1" applyAlignment="1">
      <alignment/>
      <protection/>
    </xf>
    <xf numFmtId="0" fontId="20" fillId="0" borderId="37" xfId="57" applyNumberFormat="1" applyFont="1" applyBorder="1" applyAlignment="1">
      <alignment horizontal="center"/>
      <protection/>
    </xf>
    <xf numFmtId="0" fontId="21" fillId="0" borderId="37" xfId="57" applyNumberFormat="1" applyFont="1" applyBorder="1" applyAlignment="1">
      <alignment horizontal="center"/>
      <protection/>
    </xf>
    <xf numFmtId="0" fontId="20" fillId="0" borderId="37" xfId="57" applyNumberFormat="1" applyFont="1" applyBorder="1" applyAlignment="1">
      <alignment/>
      <protection/>
    </xf>
    <xf numFmtId="0" fontId="20" fillId="0" borderId="38" xfId="57" applyNumberFormat="1" applyFont="1" applyBorder="1" applyAlignment="1" applyProtection="1">
      <alignment horizontal="center"/>
      <protection locked="0"/>
    </xf>
    <xf numFmtId="0" fontId="20" fillId="0" borderId="34" xfId="57" applyNumberFormat="1" applyFont="1" applyBorder="1" applyAlignment="1" applyProtection="1">
      <alignment/>
      <protection locked="0"/>
    </xf>
    <xf numFmtId="0" fontId="20" fillId="0" borderId="39" xfId="57" applyNumberFormat="1" applyFont="1" applyBorder="1" applyAlignment="1">
      <alignment/>
      <protection/>
    </xf>
    <xf numFmtId="0" fontId="20" fillId="0" borderId="0" xfId="57" applyNumberFormat="1" applyFont="1" applyAlignment="1">
      <alignment horizontal="center"/>
      <protection/>
    </xf>
    <xf numFmtId="0" fontId="20" fillId="0" borderId="39" xfId="57" applyNumberFormat="1" applyFont="1" applyBorder="1" applyAlignment="1" applyProtection="1">
      <alignment horizontal="center"/>
      <protection locked="0"/>
    </xf>
    <xf numFmtId="0" fontId="20" fillId="0" borderId="34" xfId="57" applyNumberFormat="1" applyFont="1" applyBorder="1" applyAlignment="1">
      <alignment horizontal="center"/>
      <protection/>
    </xf>
    <xf numFmtId="0" fontId="20" fillId="0" borderId="36" xfId="57" applyNumberFormat="1" applyFont="1" applyBorder="1" applyAlignment="1">
      <alignment horizontal="center"/>
      <protection/>
    </xf>
    <xf numFmtId="0" fontId="20" fillId="0" borderId="40" xfId="57" applyNumberFormat="1" applyFont="1" applyBorder="1" applyAlignment="1">
      <alignment horizontal="center"/>
      <protection/>
    </xf>
    <xf numFmtId="0" fontId="20" fillId="0" borderId="40" xfId="57" applyNumberFormat="1" applyFont="1" applyBorder="1" applyAlignment="1">
      <alignment/>
      <protection/>
    </xf>
    <xf numFmtId="0" fontId="20" fillId="0" borderId="39" xfId="57" applyNumberFormat="1" applyFont="1" applyBorder="1" applyAlignment="1">
      <alignment horizontal="center"/>
      <protection/>
    </xf>
    <xf numFmtId="0" fontId="20" fillId="0" borderId="39" xfId="57" applyNumberFormat="1" applyFont="1" applyBorder="1" applyAlignment="1" applyProtection="1">
      <alignment/>
      <protection locked="0"/>
    </xf>
    <xf numFmtId="0" fontId="20" fillId="0" borderId="35" xfId="57" applyNumberFormat="1" applyFont="1" applyBorder="1" applyAlignment="1" applyProtection="1">
      <alignment horizontal="center"/>
      <protection locked="0"/>
    </xf>
    <xf numFmtId="0" fontId="20" fillId="0" borderId="36" xfId="57" applyNumberFormat="1" applyFont="1" applyBorder="1" applyAlignment="1" applyProtection="1">
      <alignment horizontal="center"/>
      <protection locked="0"/>
    </xf>
    <xf numFmtId="0" fontId="20" fillId="0" borderId="40" xfId="57" applyNumberFormat="1" applyFont="1" applyBorder="1" applyAlignment="1" applyProtection="1">
      <alignment horizontal="center"/>
      <protection locked="0"/>
    </xf>
    <xf numFmtId="0" fontId="20" fillId="0" borderId="41" xfId="57" applyNumberFormat="1" applyFont="1" applyBorder="1" applyAlignment="1" applyProtection="1">
      <alignment horizontal="center"/>
      <protection locked="0"/>
    </xf>
    <xf numFmtId="0" fontId="20" fillId="0" borderId="42" xfId="57" applyNumberFormat="1" applyFont="1" applyBorder="1" applyAlignment="1" applyProtection="1">
      <alignment horizontal="center"/>
      <protection locked="0"/>
    </xf>
    <xf numFmtId="0" fontId="20" fillId="0" borderId="43" xfId="57" applyNumberFormat="1" applyFont="1" applyBorder="1" applyAlignment="1" applyProtection="1">
      <alignment horizontal="center"/>
      <protection locked="0"/>
    </xf>
    <xf numFmtId="0" fontId="20" fillId="0" borderId="38" xfId="57" applyNumberFormat="1" applyFont="1" applyBorder="1" applyAlignment="1" applyProtection="1">
      <alignment/>
      <protection locked="0"/>
    </xf>
    <xf numFmtId="0" fontId="20" fillId="0" borderId="44" xfId="57" applyNumberFormat="1" applyFont="1" applyBorder="1" applyAlignment="1">
      <alignment horizontal="center"/>
      <protection/>
    </xf>
    <xf numFmtId="0" fontId="20" fillId="0" borderId="44" xfId="57" applyFont="1" applyBorder="1" applyAlignment="1">
      <alignment/>
      <protection/>
    </xf>
    <xf numFmtId="0" fontId="20" fillId="0" borderId="45" xfId="57" applyFont="1" applyBorder="1" applyAlignment="1">
      <alignment/>
      <protection/>
    </xf>
    <xf numFmtId="0" fontId="20" fillId="0" borderId="34" xfId="57" applyFont="1" applyBorder="1" applyAlignment="1">
      <alignment/>
      <protection/>
    </xf>
    <xf numFmtId="0" fontId="20" fillId="0" borderId="39" xfId="57" applyFont="1" applyBorder="1" applyAlignment="1">
      <alignment/>
      <protection/>
    </xf>
    <xf numFmtId="0" fontId="20" fillId="0" borderId="35" xfId="57" applyFont="1" applyBorder="1" applyAlignment="1">
      <alignment horizontal="center"/>
      <protection/>
    </xf>
    <xf numFmtId="0" fontId="20" fillId="0" borderId="35" xfId="57" applyFont="1" applyBorder="1" applyAlignment="1">
      <alignment/>
      <protection/>
    </xf>
    <xf numFmtId="0" fontId="20" fillId="0" borderId="38" xfId="57" applyFont="1" applyBorder="1" applyAlignment="1">
      <alignment/>
      <protection/>
    </xf>
    <xf numFmtId="0" fontId="16" fillId="0" borderId="21" xfId="58" applyNumberFormat="1" applyFont="1" applyBorder="1" applyAlignment="1">
      <alignment horizontal="center"/>
      <protection/>
    </xf>
    <xf numFmtId="3" fontId="16" fillId="0" borderId="0" xfId="58" applyNumberFormat="1" applyFont="1" applyAlignment="1">
      <alignment horizontal="center"/>
      <protection/>
    </xf>
    <xf numFmtId="0" fontId="3" fillId="0" borderId="0" xfId="0" applyFont="1" applyAlignment="1">
      <alignment horizontal="left"/>
    </xf>
    <xf numFmtId="0" fontId="22" fillId="0" borderId="0" xfId="0" applyFont="1" applyAlignment="1">
      <alignment/>
    </xf>
    <xf numFmtId="0" fontId="5" fillId="0" borderId="0" xfId="0" applyFont="1" applyAlignment="1">
      <alignment horizontal="left"/>
    </xf>
    <xf numFmtId="0" fontId="22" fillId="0" borderId="0" xfId="0" applyFont="1" applyAlignment="1">
      <alignment horizontal="left"/>
    </xf>
    <xf numFmtId="15" fontId="22" fillId="0" borderId="0" xfId="0" applyNumberFormat="1" applyFont="1" applyAlignment="1" quotePrefix="1">
      <alignment horizontal="left"/>
    </xf>
    <xf numFmtId="0" fontId="23" fillId="0" borderId="0" xfId="0" applyFont="1" applyAlignment="1">
      <alignment horizontal="left"/>
    </xf>
    <xf numFmtId="0" fontId="24" fillId="0" borderId="0" xfId="0" applyFont="1" applyAlignment="1">
      <alignment horizontal="left"/>
    </xf>
    <xf numFmtId="0" fontId="25" fillId="0" borderId="0" xfId="0" applyFont="1" applyAlignment="1">
      <alignment horizontal="left"/>
    </xf>
    <xf numFmtId="0" fontId="25" fillId="0" borderId="0" xfId="0" applyFont="1" applyAlignment="1">
      <alignment/>
    </xf>
    <xf numFmtId="0" fontId="0" fillId="0" borderId="10" xfId="0" applyFill="1" applyBorder="1" applyAlignment="1">
      <alignment horizontal="center" wrapText="1"/>
    </xf>
    <xf numFmtId="0" fontId="7" fillId="0" borderId="32" xfId="0" applyFont="1" applyBorder="1" applyAlignment="1">
      <alignment horizontal="left" wrapText="1"/>
    </xf>
    <xf numFmtId="0" fontId="6" fillId="0" borderId="11" xfId="0" applyFont="1" applyBorder="1" applyAlignment="1">
      <alignment horizontal="center" wrapText="1"/>
    </xf>
    <xf numFmtId="0" fontId="6" fillId="0" borderId="13" xfId="0" applyFont="1" applyBorder="1" applyAlignment="1">
      <alignment horizontal="center" wrapText="1"/>
    </xf>
    <xf numFmtId="0" fontId="6" fillId="0" borderId="10" xfId="0" applyFont="1" applyBorder="1" applyAlignment="1">
      <alignment horizontal="center"/>
    </xf>
    <xf numFmtId="164" fontId="7" fillId="0" borderId="0" xfId="0" applyNumberFormat="1" applyFont="1" applyAlignment="1">
      <alignment horizontal="left" wrapText="1"/>
    </xf>
    <xf numFmtId="0" fontId="3" fillId="0" borderId="0" xfId="0" applyFont="1" applyAlignment="1">
      <alignment horizontal="left" wrapText="1"/>
    </xf>
    <xf numFmtId="0" fontId="3" fillId="0" borderId="0" xfId="0" applyFont="1" applyAlignment="1">
      <alignment horizontal="left"/>
    </xf>
    <xf numFmtId="0" fontId="0" fillId="0" borderId="10" xfId="0" applyBorder="1" applyAlignment="1">
      <alignment horizontal="center" wrapText="1"/>
    </xf>
    <xf numFmtId="0" fontId="0" fillId="0" borderId="10" xfId="0" applyBorder="1" applyAlignment="1">
      <alignment horizontal="center"/>
    </xf>
    <xf numFmtId="0" fontId="0" fillId="0" borderId="14"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15" fillId="0" borderId="46" xfId="0" applyFont="1" applyBorder="1" applyAlignment="1">
      <alignment horizontal="center" vertical="center" wrapText="1"/>
    </xf>
    <xf numFmtId="0" fontId="15" fillId="0" borderId="47" xfId="0" applyFont="1" applyBorder="1" applyAlignment="1">
      <alignment horizontal="center" vertical="center" wrapText="1"/>
    </xf>
    <xf numFmtId="0" fontId="15" fillId="0" borderId="48"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16" fillId="0" borderId="0" xfId="58" applyNumberFormat="1" applyFont="1" applyAlignment="1">
      <alignment horizontal="center"/>
      <protection/>
    </xf>
    <xf numFmtId="0" fontId="16" fillId="0" borderId="0" xfId="58" applyNumberFormat="1" applyFont="1" applyAlignment="1" quotePrefix="1">
      <alignment horizontal="center"/>
      <protection/>
    </xf>
    <xf numFmtId="0" fontId="16" fillId="0" borderId="49" xfId="58" applyNumberFormat="1" applyFont="1" applyBorder="1" applyAlignment="1" quotePrefix="1">
      <alignment horizontal="center"/>
      <protection/>
    </xf>
    <xf numFmtId="0" fontId="19" fillId="0" borderId="49" xfId="58" applyNumberFormat="1" applyFont="1" applyBorder="1" applyAlignment="1" quotePrefix="1">
      <alignment horizontal="center"/>
      <protection/>
    </xf>
    <xf numFmtId="0" fontId="19" fillId="0" borderId="49" xfId="58" applyNumberFormat="1" applyFont="1" applyBorder="1" applyAlignment="1">
      <alignment horizontal="center"/>
      <protection/>
    </xf>
    <xf numFmtId="0" fontId="16" fillId="0" borderId="47" xfId="58" applyNumberFormat="1" applyFont="1" applyBorder="1" applyAlignment="1" quotePrefix="1">
      <alignment horizont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COURTspreadSHEET03" xfId="57"/>
    <cellStyle name="Normal_RES_NET_EVAP_V_2003_mo"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C99"/>
  <sheetViews>
    <sheetView tabSelected="1" zoomScalePageLayoutView="0" workbookViewId="0" topLeftCell="A1">
      <selection activeCell="A1" sqref="A1"/>
    </sheetView>
  </sheetViews>
  <sheetFormatPr defaultColWidth="9.140625" defaultRowHeight="12.75"/>
  <cols>
    <col min="1" max="1" width="20.140625" style="0" customWidth="1"/>
    <col min="2" max="2" width="9.421875" style="0" bestFit="1" customWidth="1"/>
  </cols>
  <sheetData>
    <row r="1" ht="12.75">
      <c r="A1" s="3"/>
    </row>
    <row r="2" spans="1:2" s="289" customFormat="1" ht="20.25">
      <c r="A2" s="287" t="s">
        <v>551</v>
      </c>
      <c r="B2" s="288"/>
    </row>
    <row r="3" spans="1:2" ht="12.75">
      <c r="A3" s="281"/>
      <c r="B3" s="41"/>
    </row>
    <row r="4" spans="1:2" ht="15">
      <c r="A4" s="283" t="s">
        <v>552</v>
      </c>
      <c r="B4" s="41"/>
    </row>
    <row r="5" spans="1:2" ht="12.75">
      <c r="A5" s="41"/>
      <c r="B5" s="41"/>
    </row>
    <row r="6" spans="1:2" ht="15">
      <c r="A6" s="283" t="s">
        <v>82</v>
      </c>
      <c r="B6" s="41" t="s">
        <v>524</v>
      </c>
    </row>
    <row r="7" spans="1:2" ht="12.75">
      <c r="A7" s="41"/>
      <c r="B7" s="41"/>
    </row>
    <row r="8" spans="1:3" ht="14.25">
      <c r="A8" s="284" t="s">
        <v>510</v>
      </c>
      <c r="B8" s="285" t="s">
        <v>553</v>
      </c>
      <c r="C8" s="282"/>
    </row>
    <row r="9" spans="1:3" ht="14.25">
      <c r="A9" s="284"/>
      <c r="B9" s="284"/>
      <c r="C9" s="282"/>
    </row>
    <row r="10" spans="1:3" ht="15">
      <c r="A10" s="286" t="s">
        <v>502</v>
      </c>
      <c r="B10" s="284"/>
      <c r="C10" s="282"/>
    </row>
    <row r="11" spans="1:3" ht="14.25">
      <c r="A11" s="284" t="s">
        <v>511</v>
      </c>
      <c r="B11" s="284"/>
      <c r="C11" s="282"/>
    </row>
    <row r="20" ht="12.75">
      <c r="A20" s="3"/>
    </row>
    <row r="22" ht="12.75">
      <c r="A22" s="66"/>
    </row>
    <row r="28" ht="12.75">
      <c r="A28" s="3"/>
    </row>
    <row r="37" ht="12.75">
      <c r="A37" s="3"/>
    </row>
    <row r="38" ht="12.75">
      <c r="A38" s="69"/>
    </row>
    <row r="43" ht="12.75">
      <c r="A43" s="3"/>
    </row>
    <row r="45" ht="12.75">
      <c r="A45" s="3"/>
    </row>
    <row r="46" ht="12.75">
      <c r="A46" s="3"/>
    </row>
    <row r="47" ht="12.75">
      <c r="A47" s="3"/>
    </row>
    <row r="58" ht="12.75">
      <c r="A58" s="3"/>
    </row>
    <row r="67" ht="12.75">
      <c r="A67" s="91"/>
    </row>
    <row r="77" ht="12.75">
      <c r="A77" s="3"/>
    </row>
    <row r="84" ht="12.75">
      <c r="A84" s="3"/>
    </row>
    <row r="95" ht="12.75">
      <c r="A95" s="141"/>
    </row>
    <row r="96" ht="12.75">
      <c r="A96" s="66"/>
    </row>
    <row r="97" ht="12.75">
      <c r="A97" s="66"/>
    </row>
    <row r="98" ht="12.75">
      <c r="A98" s="66"/>
    </row>
    <row r="99" ht="12.75">
      <c r="A99" s="66"/>
    </row>
  </sheetData>
  <sheetProtection/>
  <printOptions horizontalCentered="1" verticalCentered="1"/>
  <pageMargins left="0.75" right="0.75" top="0.57" bottom="0.56" header="0.5" footer="0.5"/>
  <pageSetup fitToHeight="2" fitToWidth="1" horizontalDpi="600" verticalDpi="600" orientation="portrait" r:id="rId1"/>
</worksheet>
</file>

<file path=xl/worksheets/sheet10.xml><?xml version="1.0" encoding="utf-8"?>
<worksheet xmlns="http://schemas.openxmlformats.org/spreadsheetml/2006/main" xmlns:r="http://schemas.openxmlformats.org/officeDocument/2006/relationships">
  <sheetPr codeName="Sheet10">
    <pageSetUpPr fitToPage="1"/>
  </sheetPr>
  <dimension ref="A1:C72"/>
  <sheetViews>
    <sheetView zoomScalePageLayoutView="0" workbookViewId="0" topLeftCell="A1">
      <selection activeCell="A1" sqref="A1"/>
    </sheetView>
  </sheetViews>
  <sheetFormatPr defaultColWidth="9.140625" defaultRowHeight="12.75"/>
  <cols>
    <col min="1" max="1" width="69.57421875" style="0" customWidth="1"/>
    <col min="2" max="2" width="9.7109375" style="0" customWidth="1"/>
  </cols>
  <sheetData>
    <row r="1" spans="1:2" ht="15.75">
      <c r="A1" s="62" t="s">
        <v>229</v>
      </c>
      <c r="B1">
        <v>2003</v>
      </c>
    </row>
    <row r="2" ht="12.75"/>
    <row r="3" ht="15.75">
      <c r="A3" s="10" t="s">
        <v>180</v>
      </c>
    </row>
    <row r="4" ht="12.75">
      <c r="A4" s="8" t="s">
        <v>181</v>
      </c>
    </row>
    <row r="5" spans="1:2" ht="12.75">
      <c r="A5" s="55" t="str">
        <f>+INPUT!B53</f>
        <v>Imported Water Nebraska</v>
      </c>
      <c r="B5" s="55">
        <f>+INPUT!C53</f>
        <v>20</v>
      </c>
    </row>
    <row r="6" spans="1:2" ht="12.75">
      <c r="A6" s="55" t="str">
        <f>+INPUT!B25</f>
        <v>GW CBCU Colorado</v>
      </c>
      <c r="B6" s="55">
        <f>+INPUT!C25</f>
        <v>0</v>
      </c>
    </row>
    <row r="7" spans="1:2" ht="12.75">
      <c r="A7" s="55" t="str">
        <f>+INPUT!B26</f>
        <v>GW CBCU Kansas</v>
      </c>
      <c r="B7" s="55">
        <f>+INPUT!C26</f>
        <v>0</v>
      </c>
    </row>
    <row r="8" spans="1:2" ht="12" customHeight="1">
      <c r="A8" s="55" t="str">
        <f>+INPUT!B27</f>
        <v>GW CBCU Nebraska</v>
      </c>
      <c r="B8" s="55">
        <f>+INPUT!C27</f>
        <v>7815</v>
      </c>
    </row>
    <row r="9" spans="1:2" ht="12" customHeight="1">
      <c r="A9" s="9" t="s">
        <v>84</v>
      </c>
      <c r="B9" s="9"/>
    </row>
    <row r="10" spans="1:2" ht="12.75">
      <c r="A10" s="5" t="s">
        <v>216</v>
      </c>
      <c r="B10" s="2"/>
    </row>
    <row r="11" spans="1:2" ht="12.75">
      <c r="A11" s="60" t="str">
        <f>+INPUT!B245</f>
        <v>Red Willow Canal % Return Flow</v>
      </c>
      <c r="B11" s="60">
        <f>+INPUT!C245</f>
        <v>1</v>
      </c>
    </row>
    <row r="12" spans="1:2" ht="12.75">
      <c r="A12" s="2" t="s">
        <v>84</v>
      </c>
      <c r="B12" s="2"/>
    </row>
    <row r="13" spans="1:2" ht="12.75">
      <c r="A13" s="5" t="s">
        <v>183</v>
      </c>
      <c r="B13" s="2"/>
    </row>
    <row r="14" spans="1:2" ht="12.75">
      <c r="A14" s="55" t="str">
        <f>+INPUT!B190</f>
        <v>Red Willow Creek Near Red Willow</v>
      </c>
      <c r="B14" s="61">
        <f>+INPUT!C190</f>
        <v>3970</v>
      </c>
    </row>
    <row r="15" spans="1:2" ht="12.75">
      <c r="A15" s="55" t="str">
        <f>+INPUT!B219</f>
        <v>Hugh Butler Lake Evaporation</v>
      </c>
      <c r="B15" s="55">
        <f>+INPUT!C219</f>
        <v>2377</v>
      </c>
    </row>
    <row r="16" spans="1:2" ht="12.75">
      <c r="A16" s="55" t="str">
        <f>+INPUT!B220</f>
        <v>Hugh Butler Lake Change In Storage</v>
      </c>
      <c r="B16" s="55">
        <f>+INPUT!C220</f>
        <v>2947</v>
      </c>
    </row>
    <row r="17" spans="1:2" ht="12.75">
      <c r="A17" s="55" t="str">
        <f>+INPUT!B244</f>
        <v>Red Willow Canal Diversions</v>
      </c>
      <c r="B17" s="55">
        <f>+INPUT!C244</f>
        <v>0</v>
      </c>
    </row>
    <row r="18" spans="1:2" ht="12.75">
      <c r="A18" s="152" t="str">
        <f>+INPUT!B101</f>
        <v>SW Diversions - Irrigation - Non-Federal Canals - Nebraska</v>
      </c>
      <c r="B18" s="152">
        <f>+INPUT!C101</f>
        <v>0</v>
      </c>
    </row>
    <row r="19" spans="1:2" ht="12.75">
      <c r="A19" s="152" t="str">
        <f>+INPUT!B102</f>
        <v>SW Diversions - Irrigation - Small Pumps - Nebraska</v>
      </c>
      <c r="B19" s="152">
        <f>+INPUT!C102</f>
        <v>341</v>
      </c>
    </row>
    <row r="20" spans="1:2" ht="12.75">
      <c r="A20" s="152" t="str">
        <f>+INPUT!B103</f>
        <v>SW Diversions - M&amp;I - Nebraska</v>
      </c>
      <c r="B20" s="152">
        <f>+INPUT!C103</f>
        <v>0</v>
      </c>
    </row>
    <row r="21" spans="1:2" ht="12.75">
      <c r="A21" s="152" t="str">
        <f>+INPUT!B167</f>
        <v>Non-Federal Reservoir Evaporation - Nebraska</v>
      </c>
      <c r="B21" s="152">
        <f>+INPUT!C167</f>
        <v>0</v>
      </c>
    </row>
    <row r="22" spans="1:2" ht="12.75">
      <c r="A22" s="152" t="str">
        <f>+INPUT!B207</f>
        <v>Red Willow Flood Flow</v>
      </c>
      <c r="B22" s="152">
        <f>+INPUT!C207</f>
        <v>0</v>
      </c>
    </row>
    <row r="23" spans="1:2" ht="12.75">
      <c r="A23" s="167" t="s">
        <v>84</v>
      </c>
      <c r="B23" s="17"/>
    </row>
    <row r="24" spans="1:2" ht="15.75">
      <c r="A24" s="10" t="s">
        <v>266</v>
      </c>
      <c r="B24" s="17"/>
    </row>
    <row r="25" spans="1:2" ht="12.75">
      <c r="A25" s="8" t="s">
        <v>0</v>
      </c>
      <c r="B25" s="17"/>
    </row>
    <row r="26" spans="1:2" ht="12.75">
      <c r="A26" s="17" t="str">
        <f>'NORTH FORK'!A28</f>
        <v>GW CBCU</v>
      </c>
      <c r="B26" s="17">
        <f>+B6</f>
        <v>0</v>
      </c>
    </row>
    <row r="27" spans="1:2" ht="12.75">
      <c r="A27" s="17" t="str">
        <f>'NORTH FORK'!A29</f>
        <v>Total CBCU</v>
      </c>
      <c r="B27" s="80">
        <f>(ROUND(SUM(B26:B26),-1))</f>
        <v>0</v>
      </c>
    </row>
    <row r="28" spans="1:2" ht="12.75">
      <c r="A28" s="17" t="s">
        <v>84</v>
      </c>
      <c r="B28" s="17"/>
    </row>
    <row r="29" spans="1:2" ht="12.75">
      <c r="A29" s="8" t="s">
        <v>184</v>
      </c>
      <c r="B29" s="17"/>
    </row>
    <row r="30" spans="1:2" ht="12.75">
      <c r="A30" s="17" t="str">
        <f>'NORTH FORK'!A32</f>
        <v>GW CBCU</v>
      </c>
      <c r="B30" s="17">
        <f>+B7</f>
        <v>0</v>
      </c>
    </row>
    <row r="31" spans="1:2" ht="12.75">
      <c r="A31" s="17" t="str">
        <f>'NORTH FORK'!A33</f>
        <v>Total CBCU</v>
      </c>
      <c r="B31" s="80">
        <f>(ROUND(SUM(B30:B30),-1))</f>
        <v>0</v>
      </c>
    </row>
    <row r="32" spans="1:2" ht="12.75">
      <c r="A32" s="17" t="s">
        <v>84</v>
      </c>
      <c r="B32" s="17"/>
    </row>
    <row r="33" spans="1:2" ht="12.75">
      <c r="A33" s="8" t="s">
        <v>1</v>
      </c>
      <c r="B33" s="17"/>
    </row>
    <row r="34" spans="1:3" ht="12.75">
      <c r="A34" s="17" t="str">
        <f>((LEFT(A17,16)&amp;" "&amp;"CBCU (10%)"))</f>
        <v>Red Willow Canal CBCU (10%)</v>
      </c>
      <c r="B34" s="17">
        <f>+(B17*(1-B11))*0.1</f>
        <v>0</v>
      </c>
      <c r="C34" s="77"/>
    </row>
    <row r="35" spans="1:2" ht="12.75">
      <c r="A35" s="17" t="str">
        <f>'NORTH FORK'!A23</f>
        <v>SW CBCU - Irrigation - Non Federal Canals</v>
      </c>
      <c r="B35" s="80">
        <f>B18*CanalCUPercent</f>
        <v>0</v>
      </c>
    </row>
    <row r="36" spans="1:2" ht="12.75">
      <c r="A36" s="17" t="str">
        <f>'NORTH FORK'!A24</f>
        <v>SW CBCU - Irrigation - Small Pumps</v>
      </c>
      <c r="B36" s="80">
        <f>B19*PumperCUPercent</f>
        <v>255.75</v>
      </c>
    </row>
    <row r="37" spans="1:2" ht="12.75">
      <c r="A37" s="17" t="str">
        <f>'NORTH FORK'!A25</f>
        <v>SW CBCU - M&amp;I</v>
      </c>
      <c r="B37" s="17">
        <f>B20*MI_CUPercent</f>
        <v>0</v>
      </c>
    </row>
    <row r="38" spans="1:3" ht="12.75">
      <c r="A38" s="17" t="str">
        <f>(LEFT(A15,28))&amp;" "&amp;"(10%)"</f>
        <v>Hugh Butler Lake Evaporation (10%)</v>
      </c>
      <c r="B38" s="80">
        <f>+B15*0.1</f>
        <v>237.70000000000002</v>
      </c>
      <c r="C38" s="77"/>
    </row>
    <row r="39" spans="1:2" ht="12.75">
      <c r="A39" s="143" t="str">
        <f>'NORTH FORK'!A26</f>
        <v>Non-Federal Reservoir Evaporation</v>
      </c>
      <c r="B39" s="17">
        <f>B21</f>
        <v>0</v>
      </c>
    </row>
    <row r="40" spans="1:3" ht="12.75">
      <c r="A40" s="17" t="str">
        <f>'NORTH FORK'!A27</f>
        <v>SW CBCU</v>
      </c>
      <c r="B40" s="80">
        <f>B34+B35+B36+B37+B38+B39</f>
        <v>493.45000000000005</v>
      </c>
      <c r="C40" s="77"/>
    </row>
    <row r="41" spans="1:2" ht="12.75">
      <c r="A41" s="17" t="str">
        <f>'NORTH FORK'!A28</f>
        <v>GW CBCU</v>
      </c>
      <c r="B41" s="17">
        <f>+B8</f>
        <v>7815</v>
      </c>
    </row>
    <row r="42" spans="1:2" ht="12.75">
      <c r="A42" s="17" t="str">
        <f>'NORTH FORK'!A29</f>
        <v>Total CBCU</v>
      </c>
      <c r="B42" s="80">
        <f>(ROUND(SUM(B40:B41),-1))</f>
        <v>8310</v>
      </c>
    </row>
    <row r="43" spans="1:2" ht="12.75">
      <c r="A43" s="143" t="s">
        <v>84</v>
      </c>
      <c r="B43" s="17"/>
    </row>
    <row r="44" spans="1:2" ht="12.75">
      <c r="A44" s="5" t="s">
        <v>185</v>
      </c>
      <c r="B44" s="17"/>
    </row>
    <row r="45" spans="1:2" ht="12.75">
      <c r="A45" s="143" t="str">
        <f>'NORTH FORK'!A42</f>
        <v>Total SW CBCU</v>
      </c>
      <c r="B45" s="80">
        <f>+B40</f>
        <v>493.45000000000005</v>
      </c>
    </row>
    <row r="46" spans="1:2" ht="12.75">
      <c r="A46" s="143" t="str">
        <f>'NORTH FORK'!A43</f>
        <v>Total GW CBCU</v>
      </c>
      <c r="B46" s="80">
        <f>+B26+B30+B41</f>
        <v>7815</v>
      </c>
    </row>
    <row r="47" spans="1:2" ht="12.75">
      <c r="A47" s="143" t="str">
        <f>'NORTH FORK'!A44</f>
        <v>Total Basin CBCU</v>
      </c>
      <c r="B47" s="80">
        <f>(ROUND(SUM(B45:B46),-1))</f>
        <v>8310</v>
      </c>
    </row>
    <row r="48" spans="1:2" ht="12.75">
      <c r="A48" s="143" t="s">
        <v>84</v>
      </c>
      <c r="B48" s="17"/>
    </row>
    <row r="49" spans="1:2" ht="15.75">
      <c r="A49" s="11" t="s">
        <v>10</v>
      </c>
      <c r="B49" s="17"/>
    </row>
    <row r="50" spans="1:2" ht="12.75">
      <c r="A50" s="80" t="str">
        <f>A14</f>
        <v>Red Willow Creek Near Red Willow</v>
      </c>
      <c r="B50" s="80">
        <f>B14</f>
        <v>3970</v>
      </c>
    </row>
    <row r="51" spans="1:3" ht="12.75">
      <c r="A51" s="17" t="str">
        <f>(LEFT(A34,22))&amp;" "&amp;"(90%)"</f>
        <v>Red Willow Canal CBCU  (90%)</v>
      </c>
      <c r="B51" s="80">
        <f>0.9*(B17*(1-B11))</f>
        <v>0</v>
      </c>
      <c r="C51" s="77"/>
    </row>
    <row r="52" spans="1:2" ht="12.75">
      <c r="A52" s="17" t="str">
        <f>'NORTH FORK'!A49</f>
        <v>Colorado CBCU</v>
      </c>
      <c r="B52" s="80">
        <f>+B27</f>
        <v>0</v>
      </c>
    </row>
    <row r="53" spans="1:2" ht="12.75">
      <c r="A53" s="17" t="str">
        <f>'NORTH FORK'!A50</f>
        <v>Kansas CBCU</v>
      </c>
      <c r="B53" s="80">
        <f>+B31</f>
        <v>0</v>
      </c>
    </row>
    <row r="54" spans="1:2" ht="12.75">
      <c r="A54" s="17" t="str">
        <f>'NORTH FORK'!A51</f>
        <v>Nebraska CBCU</v>
      </c>
      <c r="B54" s="80">
        <f>+B42</f>
        <v>8310</v>
      </c>
    </row>
    <row r="55" spans="1:2" ht="12.75">
      <c r="A55" s="17" t="str">
        <f>A16</f>
        <v>Hugh Butler Lake Change In Storage</v>
      </c>
      <c r="B55" s="17">
        <f>+B16</f>
        <v>2947</v>
      </c>
    </row>
    <row r="56" spans="1:2" ht="12.75">
      <c r="A56" s="17" t="str">
        <f>(LEFT(A15,28))&amp;" "&amp;"(90%)"</f>
        <v>Hugh Butler Lake Evaporation (90%)</v>
      </c>
      <c r="B56" s="17">
        <f>+B15*0.9</f>
        <v>2139.3</v>
      </c>
    </row>
    <row r="57" spans="1:2" ht="12.75">
      <c r="A57" s="17" t="s">
        <v>250</v>
      </c>
      <c r="B57" s="17">
        <f>0.9*(B17*B11)</f>
        <v>0</v>
      </c>
    </row>
    <row r="58" spans="1:3" ht="12.75">
      <c r="A58" s="17" t="str">
        <f>'NORTH FORK'!A52</f>
        <v>Imported Water</v>
      </c>
      <c r="B58" s="17">
        <f>+B5</f>
        <v>20</v>
      </c>
      <c r="C58" s="77"/>
    </row>
    <row r="59" spans="1:3" ht="12.75">
      <c r="A59" s="17" t="str">
        <f>'NORTH FORK'!A53</f>
        <v>Virgin Water Supply</v>
      </c>
      <c r="B59" s="80">
        <f>ROUND(B50+B52+B53+B54+B51+B56+B57+B55-B58,-1)</f>
        <v>17350</v>
      </c>
      <c r="C59" s="77"/>
    </row>
    <row r="60" spans="1:2" ht="12.75">
      <c r="A60" s="17" t="str">
        <f>'NORTH FORK'!A54</f>
        <v>Adjustment For Flood Flows</v>
      </c>
      <c r="B60" s="17">
        <f>B22</f>
        <v>0</v>
      </c>
    </row>
    <row r="61" spans="1:2" ht="12.75">
      <c r="A61" s="17" t="str">
        <f>'NORTH FORK'!A55</f>
        <v>Computed Water Supply</v>
      </c>
      <c r="B61" s="80">
        <f>ROUND(+B59-B60-B55,-1)</f>
        <v>14400</v>
      </c>
    </row>
    <row r="62" spans="1:2" ht="12.75">
      <c r="A62" s="143" t="s">
        <v>84</v>
      </c>
      <c r="B62" s="17"/>
    </row>
    <row r="63" spans="1:2" ht="15.75">
      <c r="A63" s="11" t="s">
        <v>12</v>
      </c>
      <c r="B63" s="13"/>
    </row>
    <row r="64" spans="1:2" ht="12.75">
      <c r="A64" s="17" t="str">
        <f>'NORTH FORK'!A58</f>
        <v>Colorado Percent Of Allocation</v>
      </c>
      <c r="B64" s="171">
        <f>'T2'!D10</f>
        <v>0</v>
      </c>
    </row>
    <row r="65" spans="1:2" ht="12.75">
      <c r="A65" s="17" t="str">
        <f>'NORTH FORK'!A59</f>
        <v>Colorado Allocation</v>
      </c>
      <c r="B65" s="80">
        <f>ROUND(+B61*B64,-1)</f>
        <v>0</v>
      </c>
    </row>
    <row r="66" spans="1:2" ht="12.75">
      <c r="A66" s="17" t="str">
        <f>'NORTH FORK'!A60</f>
        <v>Kansas Percent Of Allocation</v>
      </c>
      <c r="B66" s="171">
        <f>'T2'!F10</f>
        <v>0</v>
      </c>
    </row>
    <row r="67" spans="1:2" ht="12.75">
      <c r="A67" s="17" t="str">
        <f>'NORTH FORK'!A61</f>
        <v>Kansas Allocation</v>
      </c>
      <c r="B67" s="80">
        <f>ROUND(B61*B66,-1)</f>
        <v>0</v>
      </c>
    </row>
    <row r="68" spans="1:2" ht="12.75">
      <c r="A68" s="17" t="str">
        <f>'NORTH FORK'!A62</f>
        <v>Nebraska Percent Of Allocation</v>
      </c>
      <c r="B68" s="171">
        <f>'T2'!H10</f>
        <v>0.192</v>
      </c>
    </row>
    <row r="69" spans="1:2" ht="12.75">
      <c r="A69" s="17" t="str">
        <f>'NORTH FORK'!A63</f>
        <v>Nebraska Allocation</v>
      </c>
      <c r="B69" s="80">
        <f>ROUND(B61*B68,-1)</f>
        <v>2760</v>
      </c>
    </row>
    <row r="70" spans="1:2" ht="12.75">
      <c r="A70" s="2" t="str">
        <f>'NORTH FORK'!A64</f>
        <v>Total Basin Allocation</v>
      </c>
      <c r="B70" s="4">
        <f>+B65+B67+B69</f>
        <v>2760</v>
      </c>
    </row>
    <row r="71" spans="1:2" ht="12.75">
      <c r="A71" s="2" t="str">
        <f>'NORTH FORK'!A65</f>
        <v>Percent Of Supply Not Allocated</v>
      </c>
      <c r="B71" s="16">
        <f>'T2'!J10</f>
        <v>0.808</v>
      </c>
    </row>
    <row r="72" spans="1:2" ht="12.75">
      <c r="A72" s="2" t="str">
        <f>'NORTH FORK'!A66</f>
        <v>Quantity Of Unallocated Supply</v>
      </c>
      <c r="B72" s="4">
        <f>+B61-B65-B67-B69</f>
        <v>11640</v>
      </c>
    </row>
  </sheetData>
  <sheetProtection/>
  <printOptions headings="1"/>
  <pageMargins left="0.75" right="0.75" top="0.75" bottom="0.5" header="0.25" footer="0.5"/>
  <pageSetup fitToHeight="2" fitToWidth="1" horizontalDpi="600" verticalDpi="600" orientation="portrait" paperSize="3" r:id="rId1"/>
  <headerFooter alignWithMargins="0">
    <oddHeader>&amp;LRRCA
Compact Accounting&amp;C&amp;A SUB-BASIN&amp;RPage &amp;P of &amp;N</oddHeader>
  </headerFooter>
</worksheet>
</file>

<file path=xl/worksheets/sheet11.xml><?xml version="1.0" encoding="utf-8"?>
<worksheet xmlns="http://schemas.openxmlformats.org/spreadsheetml/2006/main" xmlns:r="http://schemas.openxmlformats.org/officeDocument/2006/relationships">
  <sheetPr codeName="Sheet11">
    <pageSetUpPr fitToPage="1"/>
  </sheetPr>
  <dimension ref="A1:C77"/>
  <sheetViews>
    <sheetView zoomScalePageLayoutView="0" workbookViewId="0" topLeftCell="A1">
      <selection activeCell="A1" sqref="A1"/>
    </sheetView>
  </sheetViews>
  <sheetFormatPr defaultColWidth="9.140625" defaultRowHeight="12.75"/>
  <cols>
    <col min="1" max="1" width="69.28125" style="0" customWidth="1"/>
    <col min="2" max="2" width="8.00390625" style="53" customWidth="1"/>
  </cols>
  <sheetData>
    <row r="1" spans="1:2" ht="15.75">
      <c r="A1" s="62" t="s">
        <v>228</v>
      </c>
      <c r="B1" s="53">
        <v>2003</v>
      </c>
    </row>
    <row r="2" ht="12.75"/>
    <row r="3" ht="15.75">
      <c r="A3" s="10" t="s">
        <v>180</v>
      </c>
    </row>
    <row r="4" ht="12.75">
      <c r="A4" s="8" t="s">
        <v>181</v>
      </c>
    </row>
    <row r="5" spans="1:2" ht="12.75">
      <c r="A5" s="55" t="str">
        <f>+INPUT!B54</f>
        <v>Imported Water Nebraska</v>
      </c>
      <c r="B5" s="55">
        <f>+INPUT!C54</f>
        <v>9423</v>
      </c>
    </row>
    <row r="6" spans="1:2" ht="12.75">
      <c r="A6" s="55" t="str">
        <f>+INPUT!B28</f>
        <v>GW CBCU Colorado</v>
      </c>
      <c r="B6" s="55">
        <f>+INPUT!C28</f>
        <v>0</v>
      </c>
    </row>
    <row r="7" spans="1:2" ht="12.75">
      <c r="A7" s="55" t="str">
        <f>+INPUT!B29</f>
        <v>GW CBCU Kansas</v>
      </c>
      <c r="B7" s="55">
        <f>+INPUT!C29</f>
        <v>0</v>
      </c>
    </row>
    <row r="8" spans="1:2" ht="12" customHeight="1">
      <c r="A8" s="55" t="str">
        <f>+INPUT!B30</f>
        <v>GW CBCU Nebraska</v>
      </c>
      <c r="B8" s="55">
        <f>+INPUT!C30</f>
        <v>21139</v>
      </c>
    </row>
    <row r="9" spans="1:2" ht="12" customHeight="1">
      <c r="A9" s="9" t="s">
        <v>84</v>
      </c>
      <c r="B9" s="9"/>
    </row>
    <row r="10" spans="1:2" ht="12.75">
      <c r="A10" s="5" t="s">
        <v>183</v>
      </c>
      <c r="B10" s="2"/>
    </row>
    <row r="11" spans="1:2" ht="12.75">
      <c r="A11" s="55" t="str">
        <f>+INPUT!B191</f>
        <v>Medicine Creek Below Harry Strunk</v>
      </c>
      <c r="B11" s="55">
        <f>+INPUT!C191</f>
        <v>19850</v>
      </c>
    </row>
    <row r="12" spans="1:2" ht="12.75">
      <c r="A12" s="55" t="str">
        <f>+INPUT!B221</f>
        <v>Harry Strunk Lake Evaporation</v>
      </c>
      <c r="B12" s="55">
        <f>+INPUT!C221</f>
        <v>3755</v>
      </c>
    </row>
    <row r="13" spans="1:2" ht="12.75">
      <c r="A13" s="55" t="str">
        <f>+INPUT!B222</f>
        <v>Harry Strunk Lake Change In Storage</v>
      </c>
      <c r="B13" s="55">
        <f>+INPUT!C222</f>
        <v>3385</v>
      </c>
    </row>
    <row r="14" spans="1:2" ht="12.75">
      <c r="A14" s="152" t="str">
        <f>+INPUT!B104</f>
        <v>SW Diversions - Irrigation - Non-Federal Canals - Nebraska</v>
      </c>
      <c r="B14" s="152">
        <f>+INPUT!C104</f>
        <v>0</v>
      </c>
    </row>
    <row r="15" spans="1:2" ht="12.75">
      <c r="A15" s="152" t="str">
        <f>+INPUT!B105</f>
        <v>SW Diversions - Irrigation - Small Pumps - Nebraska</v>
      </c>
      <c r="B15" s="152">
        <f>+INPUT!C105</f>
        <v>291</v>
      </c>
    </row>
    <row r="16" spans="1:2" ht="12.75">
      <c r="A16" s="152" t="str">
        <f>+INPUT!B106</f>
        <v>SW Diversions - M&amp;I - Nebraska</v>
      </c>
      <c r="B16" s="152">
        <f>+INPUT!C106</f>
        <v>0</v>
      </c>
    </row>
    <row r="17" spans="1:2" ht="12.75">
      <c r="A17" s="152" t="str">
        <f>+INPUT!B107</f>
        <v>SW Diversions - Irrigation - Non-Federal Canals - Nebraska -Below Gage</v>
      </c>
      <c r="B17" s="152">
        <f>+INPUT!C107</f>
        <v>0</v>
      </c>
    </row>
    <row r="18" spans="1:2" ht="12.75">
      <c r="A18" s="152" t="str">
        <f>+INPUT!B108</f>
        <v>SW Diversions - Irrigation - Small Pumps -Nebraska - Below Gage</v>
      </c>
      <c r="B18" s="152">
        <f>+INPUT!C108</f>
        <v>106</v>
      </c>
    </row>
    <row r="19" spans="1:2" ht="12.75">
      <c r="A19" s="152" t="str">
        <f>+INPUT!B109</f>
        <v>SW Diversions - M&amp;I - Nebraska - Below Gage</v>
      </c>
      <c r="B19" s="152">
        <f>+INPUT!C109</f>
        <v>0</v>
      </c>
    </row>
    <row r="20" spans="1:2" ht="12.75">
      <c r="A20" s="152" t="str">
        <f>+INPUT!B168</f>
        <v>Non-Federal Reservoir Evaporation - Nebraska</v>
      </c>
      <c r="B20" s="152">
        <f>+INPUT!C168</f>
        <v>0</v>
      </c>
    </row>
    <row r="21" spans="1:2" ht="12.75">
      <c r="A21" s="152" t="str">
        <f>+INPUT!B169</f>
        <v>Non-Federal Reservoir Evaporation - Nebraska - Below Gage</v>
      </c>
      <c r="B21" s="152">
        <f>+INPUT!C169</f>
        <v>0</v>
      </c>
    </row>
    <row r="22" spans="1:2" ht="12.75">
      <c r="A22" s="152" t="str">
        <f>+INPUT!B208</f>
        <v>Medicine Creek Flood Flow</v>
      </c>
      <c r="B22" s="152">
        <f>+INPUT!C208</f>
        <v>0</v>
      </c>
    </row>
    <row r="23" spans="1:2" ht="12.75">
      <c r="A23" s="167" t="s">
        <v>84</v>
      </c>
      <c r="B23" s="17"/>
    </row>
    <row r="24" spans="1:2" ht="15.75">
      <c r="A24" s="10" t="s">
        <v>266</v>
      </c>
      <c r="B24" s="17"/>
    </row>
    <row r="25" spans="1:2" ht="12.75">
      <c r="A25" s="8" t="s">
        <v>0</v>
      </c>
      <c r="B25" s="17"/>
    </row>
    <row r="26" spans="1:2" ht="12.75">
      <c r="A26" s="17" t="str">
        <f>'NORTH FORK'!A38</f>
        <v>GW CBCU</v>
      </c>
      <c r="B26" s="17">
        <f>+B6</f>
        <v>0</v>
      </c>
    </row>
    <row r="27" spans="1:2" ht="12.75">
      <c r="A27" s="17" t="str">
        <f>'NORTH FORK'!A39</f>
        <v>Total CBCU</v>
      </c>
      <c r="B27" s="80">
        <f>(ROUND(SUM(B26:B26),-1))</f>
        <v>0</v>
      </c>
    </row>
    <row r="28" spans="1:2" ht="12.75">
      <c r="A28" s="17" t="s">
        <v>84</v>
      </c>
      <c r="B28" s="17"/>
    </row>
    <row r="29" spans="1:2" ht="12.75">
      <c r="A29" s="8" t="s">
        <v>184</v>
      </c>
      <c r="B29" s="17"/>
    </row>
    <row r="30" spans="1:2" ht="12.75">
      <c r="A30" s="17" t="str">
        <f>'NORTH FORK'!A38</f>
        <v>GW CBCU</v>
      </c>
      <c r="B30" s="17">
        <f>+B7</f>
        <v>0</v>
      </c>
    </row>
    <row r="31" spans="1:2" ht="12.75">
      <c r="A31" s="17" t="str">
        <f>'NORTH FORK'!A39</f>
        <v>Total CBCU</v>
      </c>
      <c r="B31" s="80">
        <f>(ROUND(SUM(B30:B30),-1))</f>
        <v>0</v>
      </c>
    </row>
    <row r="32" spans="1:2" ht="12.75">
      <c r="A32" s="17" t="s">
        <v>84</v>
      </c>
      <c r="B32" s="17"/>
    </row>
    <row r="33" spans="1:2" ht="12.75">
      <c r="A33" s="8" t="s">
        <v>1</v>
      </c>
      <c r="B33" s="17"/>
    </row>
    <row r="34" spans="1:2" ht="12.75">
      <c r="A34" s="17" t="str">
        <f>'NORTH FORK'!A23</f>
        <v>SW CBCU - Irrigation - Non Federal Canals</v>
      </c>
      <c r="B34" s="80">
        <f>B14*CanalCUPercent</f>
        <v>0</v>
      </c>
    </row>
    <row r="35" spans="1:2" ht="12.75">
      <c r="A35" s="17" t="str">
        <f>'NORTH FORK'!A24</f>
        <v>SW CBCU - Irrigation - Small Pumps</v>
      </c>
      <c r="B35" s="80">
        <f>B15*PumperCUPercent</f>
        <v>218.25</v>
      </c>
    </row>
    <row r="36" spans="1:2" ht="12.75">
      <c r="A36" s="17" t="str">
        <f>'NORTH FORK'!A25</f>
        <v>SW CBCU - M&amp;I</v>
      </c>
      <c r="B36" s="17">
        <f>B16*MI_CUPercent</f>
        <v>0</v>
      </c>
    </row>
    <row r="37" spans="1:2" ht="12.75">
      <c r="A37" s="17" t="str">
        <f>'NORTH FORK'!A23&amp;" "&amp;"-"&amp;" "&amp;"Below Gage"</f>
        <v>SW CBCU - Irrigation - Non Federal Canals - Below Gage</v>
      </c>
      <c r="B37" s="80">
        <f>+B17*CanalCUPercent</f>
        <v>0</v>
      </c>
    </row>
    <row r="38" spans="1:2" ht="12.75">
      <c r="A38" s="17" t="str">
        <f>'NORTH FORK'!A24&amp;" "&amp;"-"&amp;" "&amp;"Below Gage"</f>
        <v>SW CBCU - Irrigation - Small Pumps - Below Gage</v>
      </c>
      <c r="B38" s="80">
        <f>+B18*PumperCUPercent</f>
        <v>79.5</v>
      </c>
    </row>
    <row r="39" spans="1:2" ht="12.75">
      <c r="A39" s="17" t="str">
        <f>'NORTH FORK'!A25&amp;" "&amp;"-"&amp;" "&amp;"Below Gage"</f>
        <v>SW CBCU - M&amp;I - Below Gage</v>
      </c>
      <c r="B39" s="80">
        <f>+B19*MI_CUPercent</f>
        <v>0</v>
      </c>
    </row>
    <row r="40" spans="1:3" ht="12.75">
      <c r="A40" s="143" t="str">
        <f>'NORTH FORK'!A26</f>
        <v>Non-Federal Reservoir Evaporation</v>
      </c>
      <c r="B40" s="17">
        <f>B20</f>
        <v>0</v>
      </c>
      <c r="C40" s="53"/>
    </row>
    <row r="41" spans="1:3" ht="12.75">
      <c r="A41" s="143" t="str">
        <f>'NORTH FORK'!A26&amp;" "&amp;"-"&amp;" "&amp;"Below gage"</f>
        <v>Non-Federal Reservoir Evaporation - Below gage</v>
      </c>
      <c r="B41" s="17">
        <f>B21</f>
        <v>0</v>
      </c>
      <c r="C41" s="53"/>
    </row>
    <row r="42" spans="1:3" ht="12.75">
      <c r="A42" s="17" t="str">
        <f>'NORTH FORK'!A27</f>
        <v>SW CBCU</v>
      </c>
      <c r="B42" s="80">
        <f>B34+B35+B36+B37+B38+B39+B40+B41</f>
        <v>297.75</v>
      </c>
      <c r="C42" s="77"/>
    </row>
    <row r="43" spans="1:3" ht="12.75">
      <c r="A43" s="17" t="str">
        <f>'NORTH FORK'!A28</f>
        <v>GW CBCU</v>
      </c>
      <c r="B43" s="17">
        <f>+B8</f>
        <v>21139</v>
      </c>
      <c r="C43" s="53"/>
    </row>
    <row r="44" spans="1:3" ht="12.75">
      <c r="A44" s="17" t="str">
        <f>'NORTH FORK'!A29</f>
        <v>Total CBCU</v>
      </c>
      <c r="B44" s="80">
        <f>(ROUND(SUM(B42:B43),-1))</f>
        <v>21440</v>
      </c>
      <c r="C44" s="53"/>
    </row>
    <row r="45" spans="1:3" ht="12.75">
      <c r="A45" s="17" t="s">
        <v>84</v>
      </c>
      <c r="B45" s="17"/>
      <c r="C45" s="53"/>
    </row>
    <row r="46" spans="1:3" ht="12.75">
      <c r="A46" s="5" t="s">
        <v>185</v>
      </c>
      <c r="B46" s="17"/>
      <c r="C46" s="53"/>
    </row>
    <row r="47" spans="1:3" ht="12.75">
      <c r="A47" s="143" t="str">
        <f>'NORTH FORK'!A42</f>
        <v>Total SW CBCU</v>
      </c>
      <c r="B47" s="80">
        <f>+B42</f>
        <v>297.75</v>
      </c>
      <c r="C47" s="53"/>
    </row>
    <row r="48" spans="1:3" ht="12.75">
      <c r="A48" s="143" t="str">
        <f>'NORTH FORK'!A43</f>
        <v>Total GW CBCU</v>
      </c>
      <c r="B48" s="80">
        <f>+B26+B30+B43</f>
        <v>21139</v>
      </c>
      <c r="C48" s="53"/>
    </row>
    <row r="49" spans="1:3" ht="12.75">
      <c r="A49" s="143" t="str">
        <f>'NORTH FORK'!A44</f>
        <v>Total Basin CBCU</v>
      </c>
      <c r="B49" s="143">
        <f>(ROUND(SUM(B47:B48),-1))</f>
        <v>21440</v>
      </c>
      <c r="C49" s="53"/>
    </row>
    <row r="50" spans="1:3" ht="12.75">
      <c r="A50" s="143" t="s">
        <v>84</v>
      </c>
      <c r="B50" s="17"/>
      <c r="C50" s="94"/>
    </row>
    <row r="51" spans="1:3" ht="12.75">
      <c r="A51" s="5" t="s">
        <v>427</v>
      </c>
      <c r="B51" s="17"/>
      <c r="C51" s="94"/>
    </row>
    <row r="52" spans="1:3" ht="12.75">
      <c r="A52" s="17" t="s">
        <v>251</v>
      </c>
      <c r="B52" s="80">
        <f>B37+B38+B39+B41</f>
        <v>79.5</v>
      </c>
      <c r="C52" s="96"/>
    </row>
    <row r="53" spans="1:3" ht="12.75">
      <c r="A53" s="17" t="s">
        <v>4</v>
      </c>
      <c r="B53" s="80">
        <f>B52</f>
        <v>79.5</v>
      </c>
      <c r="C53" s="96"/>
    </row>
    <row r="54" spans="1:3" ht="12.75">
      <c r="A54" s="17" t="s">
        <v>84</v>
      </c>
      <c r="B54" s="17"/>
      <c r="C54" s="94"/>
    </row>
    <row r="55" spans="1:3" ht="15.75">
      <c r="A55" s="11" t="s">
        <v>10</v>
      </c>
      <c r="B55" s="17"/>
      <c r="C55" s="94"/>
    </row>
    <row r="56" spans="1:3" ht="12.75">
      <c r="A56" s="80" t="str">
        <f>A11</f>
        <v>Medicine Creek Below Harry Strunk</v>
      </c>
      <c r="B56" s="80">
        <f>B11</f>
        <v>19850</v>
      </c>
      <c r="C56" s="94"/>
    </row>
    <row r="57" spans="1:3" ht="12.75">
      <c r="A57" s="17" t="str">
        <f>'NORTH FORK'!A49</f>
        <v>Colorado CBCU</v>
      </c>
      <c r="B57" s="80">
        <f>+B27</f>
        <v>0</v>
      </c>
      <c r="C57" s="94"/>
    </row>
    <row r="58" spans="1:3" ht="12.75">
      <c r="A58" s="17" t="str">
        <f>'NORTH FORK'!A50</f>
        <v>Kansas CBCU</v>
      </c>
      <c r="B58" s="80">
        <f>+B31</f>
        <v>0</v>
      </c>
      <c r="C58" s="94"/>
    </row>
    <row r="59" spans="1:3" ht="12.75">
      <c r="A59" s="17" t="str">
        <f>'NORTH FORK'!A51</f>
        <v>Nebraska CBCU</v>
      </c>
      <c r="B59" s="80">
        <f>B44</f>
        <v>21440</v>
      </c>
      <c r="C59" s="94"/>
    </row>
    <row r="60" spans="1:3" ht="12.75">
      <c r="A60" s="17" t="s">
        <v>251</v>
      </c>
      <c r="B60" s="80">
        <f>B53</f>
        <v>79.5</v>
      </c>
      <c r="C60" s="94"/>
    </row>
    <row r="61" spans="1:3" ht="12.75">
      <c r="A61" s="17" t="str">
        <f>A13</f>
        <v>Harry Strunk Lake Change In Storage</v>
      </c>
      <c r="B61" s="17">
        <f>+B13</f>
        <v>3385</v>
      </c>
      <c r="C61" s="94"/>
    </row>
    <row r="62" spans="1:3" ht="12.75">
      <c r="A62" s="17" t="str">
        <f>A12</f>
        <v>Harry Strunk Lake Evaporation</v>
      </c>
      <c r="B62" s="17">
        <f>+B12</f>
        <v>3755</v>
      </c>
      <c r="C62" s="94"/>
    </row>
    <row r="63" spans="1:3" ht="12.75">
      <c r="A63" s="17" t="str">
        <f>'NORTH FORK'!A52</f>
        <v>Imported Water</v>
      </c>
      <c r="B63" s="17">
        <f>B5</f>
        <v>9423</v>
      </c>
      <c r="C63" s="96"/>
    </row>
    <row r="64" spans="1:3" ht="12.75">
      <c r="A64" s="17" t="str">
        <f>'NORTH FORK'!A53</f>
        <v>Virgin Water Supply</v>
      </c>
      <c r="B64" s="80">
        <f>ROUND(B56+B57+B58+B59-B60+B61+B62-B63,-1)</f>
        <v>38930</v>
      </c>
      <c r="C64" s="53"/>
    </row>
    <row r="65" spans="1:3" ht="12.75">
      <c r="A65" s="17" t="str">
        <f>'NORTH FORK'!A54</f>
        <v>Adjustment For Flood Flows</v>
      </c>
      <c r="B65" s="17">
        <f>B22</f>
        <v>0</v>
      </c>
      <c r="C65" s="53"/>
    </row>
    <row r="66" spans="1:3" ht="12.75">
      <c r="A66" s="17" t="str">
        <f>'NORTH FORK'!A55</f>
        <v>Computed Water Supply</v>
      </c>
      <c r="B66" s="80">
        <f>+ROUND(B64-B65-B61,-1)</f>
        <v>35550</v>
      </c>
      <c r="C66" s="53"/>
    </row>
    <row r="67" spans="1:3" ht="12.75">
      <c r="A67" s="143" t="s">
        <v>84</v>
      </c>
      <c r="B67" s="17"/>
      <c r="C67" s="53"/>
    </row>
    <row r="68" spans="1:3" ht="15.75">
      <c r="A68" s="11" t="s">
        <v>12</v>
      </c>
      <c r="B68" s="13"/>
      <c r="C68" s="53"/>
    </row>
    <row r="69" spans="1:3" ht="12.75">
      <c r="A69" s="17" t="str">
        <f>'NORTH FORK'!A58</f>
        <v>Colorado Percent Of Allocation</v>
      </c>
      <c r="B69" s="171">
        <f>'T2'!D11</f>
        <v>0</v>
      </c>
      <c r="C69" s="53"/>
    </row>
    <row r="70" spans="1:3" ht="12.75">
      <c r="A70" s="17" t="str">
        <f>'NORTH FORK'!A59</f>
        <v>Colorado Allocation</v>
      </c>
      <c r="B70" s="80">
        <f>ROUND(+B66*B69,-1)</f>
        <v>0</v>
      </c>
      <c r="C70" s="53"/>
    </row>
    <row r="71" spans="1:3" ht="12.75">
      <c r="A71" s="17" t="str">
        <f>'NORTH FORK'!A60</f>
        <v>Kansas Percent Of Allocation</v>
      </c>
      <c r="B71" s="171">
        <f>'T2'!F11</f>
        <v>0</v>
      </c>
      <c r="C71" s="53"/>
    </row>
    <row r="72" spans="1:3" ht="12.75">
      <c r="A72" s="17" t="str">
        <f>'NORTH FORK'!A61</f>
        <v>Kansas Allocation</v>
      </c>
      <c r="B72" s="80">
        <f>ROUND(B66*B71,-1)</f>
        <v>0</v>
      </c>
      <c r="C72" s="53"/>
    </row>
    <row r="73" spans="1:3" ht="12.75">
      <c r="A73" s="17" t="str">
        <f>'NORTH FORK'!A62</f>
        <v>Nebraska Percent Of Allocation</v>
      </c>
      <c r="B73" s="171">
        <f>'T2'!H11</f>
        <v>0.091</v>
      </c>
      <c r="C73" s="53"/>
    </row>
    <row r="74" spans="1:3" ht="12.75">
      <c r="A74" s="17" t="str">
        <f>'NORTH FORK'!A63</f>
        <v>Nebraska Allocation</v>
      </c>
      <c r="B74" s="80">
        <f>ROUND(B66*B73,-1)</f>
        <v>3240</v>
      </c>
      <c r="C74" s="53"/>
    </row>
    <row r="75" spans="1:3" ht="12.75">
      <c r="A75" s="17" t="str">
        <f>'NORTH FORK'!A64</f>
        <v>Total Basin Allocation</v>
      </c>
      <c r="B75" s="80">
        <f>+B70+B72+B74</f>
        <v>3240</v>
      </c>
      <c r="C75" s="53"/>
    </row>
    <row r="76" spans="1:3" ht="12.75">
      <c r="A76" s="17" t="str">
        <f>'NORTH FORK'!A65</f>
        <v>Percent Of Supply Not Allocated</v>
      </c>
      <c r="B76" s="171">
        <f>'T2'!J11</f>
        <v>0.909</v>
      </c>
      <c r="C76" s="53"/>
    </row>
    <row r="77" spans="1:3" ht="12.75">
      <c r="A77" s="2" t="str">
        <f>'NORTH FORK'!A66</f>
        <v>Quantity Of Unallocated Supply</v>
      </c>
      <c r="B77" s="4">
        <f>+B66-B70-B72-B74</f>
        <v>32310</v>
      </c>
      <c r="C77" s="53"/>
    </row>
  </sheetData>
  <sheetProtection/>
  <printOptions headings="1"/>
  <pageMargins left="0.75" right="0.75" top="0.75" bottom="0.5" header="0.25" footer="0.5"/>
  <pageSetup fitToHeight="2" fitToWidth="1" horizontalDpi="600" verticalDpi="600" orientation="portrait" paperSize="3" r:id="rId1"/>
  <headerFooter alignWithMargins="0">
    <oddHeader>&amp;LRRCA 
Compact Accounting&amp;C&amp;A SUB-BASIN&amp;RPage &amp;P of &amp;N</oddHeader>
  </headerFooter>
</worksheet>
</file>

<file path=xl/worksheets/sheet12.xml><?xml version="1.0" encoding="utf-8"?>
<worksheet xmlns="http://schemas.openxmlformats.org/spreadsheetml/2006/main" xmlns:r="http://schemas.openxmlformats.org/officeDocument/2006/relationships">
  <sheetPr codeName="Sheet12">
    <pageSetUpPr fitToPage="1"/>
  </sheetPr>
  <dimension ref="A1:C91"/>
  <sheetViews>
    <sheetView zoomScalePageLayoutView="0" workbookViewId="0" topLeftCell="A1">
      <selection activeCell="A1" sqref="A1"/>
    </sheetView>
  </sheetViews>
  <sheetFormatPr defaultColWidth="9.140625" defaultRowHeight="12.75"/>
  <cols>
    <col min="1" max="1" width="69.421875" style="0" customWidth="1"/>
    <col min="2" max="2" width="9.57421875" style="0" customWidth="1"/>
  </cols>
  <sheetData>
    <row r="1" spans="1:2" ht="15.75">
      <c r="A1" s="62" t="s">
        <v>227</v>
      </c>
      <c r="B1">
        <v>2003</v>
      </c>
    </row>
    <row r="2" ht="12.75"/>
    <row r="3" ht="15.75">
      <c r="A3" s="10" t="s">
        <v>180</v>
      </c>
    </row>
    <row r="4" ht="12.75">
      <c r="A4" s="8" t="s">
        <v>181</v>
      </c>
    </row>
    <row r="5" spans="1:2" ht="12.75">
      <c r="A5" s="55" t="str">
        <f>+INPUT!B55</f>
        <v>Imported Water Nebraska</v>
      </c>
      <c r="B5" s="55">
        <f>+INPUT!C55</f>
        <v>0</v>
      </c>
    </row>
    <row r="6" spans="1:2" ht="12.75">
      <c r="A6" s="55" t="str">
        <f>+INPUT!B31</f>
        <v>GW CBCU Colorado</v>
      </c>
      <c r="B6" s="55">
        <f>+INPUT!C31</f>
        <v>0</v>
      </c>
    </row>
    <row r="7" spans="1:2" ht="12.75">
      <c r="A7" s="55" t="str">
        <f>+INPUT!B32</f>
        <v>GW CBCU Kansas</v>
      </c>
      <c r="B7" s="55">
        <f>+INPUT!C32</f>
        <v>274</v>
      </c>
    </row>
    <row r="8" spans="1:2" ht="12" customHeight="1">
      <c r="A8" s="55" t="str">
        <f>+INPUT!B33</f>
        <v>GW CBCU Nebraska</v>
      </c>
      <c r="B8" s="55">
        <f>+INPUT!C33</f>
        <v>777</v>
      </c>
    </row>
    <row r="9" spans="1:2" ht="12.75">
      <c r="A9" s="2" t="s">
        <v>84</v>
      </c>
      <c r="B9" s="2"/>
    </row>
    <row r="10" spans="1:2" ht="12.75">
      <c r="A10" s="5" t="s">
        <v>183</v>
      </c>
      <c r="B10" s="2"/>
    </row>
    <row r="11" spans="1:2" ht="12.75">
      <c r="A11" s="55" t="str">
        <f>+INPUT!B192</f>
        <v>Beaver Creek Near Beaver City</v>
      </c>
      <c r="B11" s="55">
        <f>+INPUT!C192</f>
        <v>220</v>
      </c>
    </row>
    <row r="12" spans="1:2" ht="12.75">
      <c r="A12" s="55" t="str">
        <f>+INPUT!B110</f>
        <v>SW Diversions - Irrigation -Non-Federal Canals- Colorado</v>
      </c>
      <c r="B12" s="55">
        <f>+INPUT!C110</f>
        <v>0</v>
      </c>
    </row>
    <row r="13" spans="1:2" ht="12.75">
      <c r="A13" s="152" t="str">
        <f>+INPUT!B111</f>
        <v>SW Diversions - Irrigation - Small Pumps - Colorado</v>
      </c>
      <c r="B13" s="152">
        <f>+INPUT!C111</f>
        <v>0</v>
      </c>
    </row>
    <row r="14" spans="1:2" ht="12.75">
      <c r="A14" s="152" t="str">
        <f>+INPUT!B112</f>
        <v>SW Diversions - M&amp;I - Colorado</v>
      </c>
      <c r="B14" s="152">
        <f>+INPUT!C112</f>
        <v>0</v>
      </c>
    </row>
    <row r="15" spans="1:2" ht="12.75">
      <c r="A15" s="152" t="str">
        <f>+INPUT!B113</f>
        <v>SW Diversions - Irrigation - Non-Federal Canals- Kansas</v>
      </c>
      <c r="B15" s="152">
        <f>+INPUT!C113</f>
        <v>0</v>
      </c>
    </row>
    <row r="16" spans="1:2" ht="12.75">
      <c r="A16" s="152" t="str">
        <f>+INPUT!B114</f>
        <v>SW Diversions - Irrigation - Small Pumps - Kansas</v>
      </c>
      <c r="B16" s="152">
        <f>+INPUT!C114</f>
        <v>26</v>
      </c>
    </row>
    <row r="17" spans="1:2" ht="12.75">
      <c r="A17" s="152" t="str">
        <f>+INPUT!B115</f>
        <v>SW Diversions - M&amp;I - Kansas</v>
      </c>
      <c r="B17" s="152">
        <f>+INPUT!C115</f>
        <v>0</v>
      </c>
    </row>
    <row r="18" spans="1:2" ht="12.75">
      <c r="A18" s="152" t="str">
        <f>+INPUT!B116</f>
        <v>SW Diversions - Irrigation - Non-Federal Canals - Nebraska</v>
      </c>
      <c r="B18" s="152">
        <f>+INPUT!C116</f>
        <v>0</v>
      </c>
    </row>
    <row r="19" spans="1:2" ht="12.75">
      <c r="A19" s="152" t="str">
        <f>+INPUT!B117</f>
        <v>SW Diversions - Irrigation - Small Pumps - Nebraska</v>
      </c>
      <c r="B19" s="152">
        <f>+INPUT!C117</f>
        <v>0</v>
      </c>
    </row>
    <row r="20" spans="1:2" ht="12.75">
      <c r="A20" s="152" t="str">
        <f>+INPUT!B118</f>
        <v>SW Diversions - M&amp;I - Nebraska</v>
      </c>
      <c r="B20" s="152">
        <f>+INPUT!C118</f>
        <v>0</v>
      </c>
    </row>
    <row r="21" spans="1:3" ht="12.75">
      <c r="A21" s="143" t="str">
        <f>INPUT!B119</f>
        <v>SW Diversions - Irrigation - Non-Federal Canals - Nebraska -Below Gage</v>
      </c>
      <c r="B21" s="143">
        <f>INPUT!C119</f>
        <v>0</v>
      </c>
      <c r="C21" s="83"/>
    </row>
    <row r="22" spans="1:3" ht="12.75">
      <c r="A22" s="143" t="str">
        <f>INPUT!B120</f>
        <v>SW Diversions - Irrigation - Small Pumps -Nebraska - Below Gage</v>
      </c>
      <c r="B22" s="143">
        <f>INPUT!C120</f>
        <v>0</v>
      </c>
      <c r="C22" s="83"/>
    </row>
    <row r="23" spans="1:3" ht="12.75">
      <c r="A23" s="143" t="str">
        <f>INPUT!B121</f>
        <v>SW Diversions - M&amp;I - Nebraska - Below Gage</v>
      </c>
      <c r="B23" s="143">
        <f>INPUT!C121</f>
        <v>0</v>
      </c>
      <c r="C23" s="83"/>
    </row>
    <row r="24" spans="1:2" ht="12.75">
      <c r="A24" s="152" t="str">
        <f>+INPUT!B170</f>
        <v>Non-Federal Reservoir Evaporation - Colorado</v>
      </c>
      <c r="B24" s="152">
        <f>+INPUT!C170</f>
        <v>0</v>
      </c>
    </row>
    <row r="25" spans="1:2" ht="12.75">
      <c r="A25" s="152" t="str">
        <f>+INPUT!B171</f>
        <v>Non-Federal Reservoir Evaporation - Kansas</v>
      </c>
      <c r="B25" s="152">
        <f>+INPUT!C171</f>
        <v>0</v>
      </c>
    </row>
    <row r="26" spans="1:2" ht="12.75">
      <c r="A26" s="152" t="str">
        <f>+INPUT!B172</f>
        <v>Non-Federal Reservoir Evaporation - Nebraska</v>
      </c>
      <c r="B26" s="152">
        <f>+INPUT!C172</f>
        <v>0</v>
      </c>
    </row>
    <row r="27" spans="1:2" ht="12.75">
      <c r="A27" s="152" t="str">
        <f>+INPUT!B173</f>
        <v>Non-Federal Reservoir Evaporation - Nebraska - Below Gage</v>
      </c>
      <c r="B27" s="152">
        <f>+INPUT!C173</f>
        <v>0</v>
      </c>
    </row>
    <row r="28" spans="1:2" ht="12.75">
      <c r="A28" s="152" t="str">
        <f>+INPUT!B209</f>
        <v>Beaver Flood Flow</v>
      </c>
      <c r="B28" s="152">
        <f>+INPUT!C209</f>
        <v>0</v>
      </c>
    </row>
    <row r="29" spans="1:2" ht="12.75">
      <c r="A29" s="167" t="s">
        <v>84</v>
      </c>
      <c r="B29" s="17"/>
    </row>
    <row r="30" spans="1:2" ht="15.75">
      <c r="A30" s="10" t="s">
        <v>266</v>
      </c>
      <c r="B30" s="17"/>
    </row>
    <row r="31" spans="1:2" ht="12.75">
      <c r="A31" s="8" t="s">
        <v>0</v>
      </c>
      <c r="B31" s="17"/>
    </row>
    <row r="32" spans="1:2" ht="12.75">
      <c r="A32" s="17" t="str">
        <f>'NORTH FORK'!A23</f>
        <v>SW CBCU - Irrigation - Non Federal Canals</v>
      </c>
      <c r="B32" s="17">
        <f>+B12*CanalCUPercent</f>
        <v>0</v>
      </c>
    </row>
    <row r="33" spans="1:2" ht="12.75">
      <c r="A33" s="17" t="str">
        <f>'NORTH FORK'!A24</f>
        <v>SW CBCU - Irrigation - Small Pumps</v>
      </c>
      <c r="B33" s="17">
        <f>+B13*PumperCUPercent</f>
        <v>0</v>
      </c>
    </row>
    <row r="34" spans="1:2" ht="12.75">
      <c r="A34" s="17" t="str">
        <f>'NORTH FORK'!A25</f>
        <v>SW CBCU - M&amp;I</v>
      </c>
      <c r="B34" s="17">
        <f>+B14*MI_CUPercent</f>
        <v>0</v>
      </c>
    </row>
    <row r="35" spans="1:2" ht="12.75">
      <c r="A35" s="17" t="str">
        <f>'NORTH FORK'!A26</f>
        <v>Non-Federal Reservoir Evaporation</v>
      </c>
      <c r="B35" s="17">
        <f>+B24</f>
        <v>0</v>
      </c>
    </row>
    <row r="36" spans="1:3" ht="12.75">
      <c r="A36" s="17" t="str">
        <f>'NORTH FORK'!A27</f>
        <v>SW CBCU</v>
      </c>
      <c r="B36" s="80">
        <f>B32+B33+B34+B35</f>
        <v>0</v>
      </c>
      <c r="C36" s="77"/>
    </row>
    <row r="37" spans="1:2" ht="12.75">
      <c r="A37" s="17" t="str">
        <f>'NORTH FORK'!A28</f>
        <v>GW CBCU</v>
      </c>
      <c r="B37" s="17">
        <f>+B6</f>
        <v>0</v>
      </c>
    </row>
    <row r="38" spans="1:2" ht="12.75">
      <c r="A38" s="17" t="str">
        <f>'NORTH FORK'!A29</f>
        <v>Total CBCU</v>
      </c>
      <c r="B38" s="80">
        <f>(ROUND(SUM(B36:B37),-1))</f>
        <v>0</v>
      </c>
    </row>
    <row r="39" spans="1:2" ht="12.75">
      <c r="A39" s="17" t="s">
        <v>84</v>
      </c>
      <c r="B39" s="17"/>
    </row>
    <row r="40" spans="1:2" ht="12.75">
      <c r="A40" s="8" t="s">
        <v>184</v>
      </c>
      <c r="B40" s="17"/>
    </row>
    <row r="41" spans="1:2" ht="12.75">
      <c r="A41" s="12" t="str">
        <f>'NORTH FORK'!A23</f>
        <v>SW CBCU - Irrigation - Non Federal Canals</v>
      </c>
      <c r="B41" s="17">
        <f>B15*CanalCUPercent</f>
        <v>0</v>
      </c>
    </row>
    <row r="42" spans="1:2" ht="12.75">
      <c r="A42" s="12" t="str">
        <f>'NORTH FORK'!A24</f>
        <v>SW CBCU - Irrigation - Small Pumps</v>
      </c>
      <c r="B42" s="17">
        <f>+B16*PumperCUPercent</f>
        <v>19.5</v>
      </c>
    </row>
    <row r="43" spans="1:2" ht="12.75">
      <c r="A43" s="12" t="str">
        <f>'NORTH FORK'!A25</f>
        <v>SW CBCU - M&amp;I</v>
      </c>
      <c r="B43" s="17">
        <f>+B17*MI_CUPercent</f>
        <v>0</v>
      </c>
    </row>
    <row r="44" spans="1:2" ht="12.75">
      <c r="A44" s="17" t="str">
        <f>'NORTH FORK'!A26</f>
        <v>Non-Federal Reservoir Evaporation</v>
      </c>
      <c r="B44" s="17">
        <f>B25</f>
        <v>0</v>
      </c>
    </row>
    <row r="45" spans="1:3" ht="12.75">
      <c r="A45" s="17" t="str">
        <f>'NORTH FORK'!A27</f>
        <v>SW CBCU</v>
      </c>
      <c r="B45" s="80">
        <f>B41+B42+B43+B44</f>
        <v>19.5</v>
      </c>
      <c r="C45" s="77"/>
    </row>
    <row r="46" spans="1:2" ht="12.75">
      <c r="A46" s="17" t="str">
        <f>'NORTH FORK'!A28</f>
        <v>GW CBCU</v>
      </c>
      <c r="B46" s="17">
        <f>+B7</f>
        <v>274</v>
      </c>
    </row>
    <row r="47" spans="1:2" ht="12.75">
      <c r="A47" s="17" t="str">
        <f>'NORTH FORK'!A29</f>
        <v>Total CBCU</v>
      </c>
      <c r="B47" s="80">
        <f>(ROUND(SUM(B45:B46),-1))</f>
        <v>290</v>
      </c>
    </row>
    <row r="48" spans="1:2" ht="12.75">
      <c r="A48" s="17" t="s">
        <v>84</v>
      </c>
      <c r="B48" s="17"/>
    </row>
    <row r="49" spans="1:2" ht="12.75">
      <c r="A49" s="8" t="s">
        <v>1</v>
      </c>
      <c r="B49" s="17"/>
    </row>
    <row r="50" spans="1:2" ht="12.75">
      <c r="A50" s="17" t="str">
        <f>'NORTH FORK'!A23</f>
        <v>SW CBCU - Irrigation - Non Federal Canals</v>
      </c>
      <c r="B50" s="80">
        <f>B18*CanalCUPercent</f>
        <v>0</v>
      </c>
    </row>
    <row r="51" spans="1:2" ht="12.75">
      <c r="A51" s="17" t="str">
        <f>'NORTH FORK'!A24</f>
        <v>SW CBCU - Irrigation - Small Pumps</v>
      </c>
      <c r="B51" s="80">
        <f>B19*PumperCUPercent</f>
        <v>0</v>
      </c>
    </row>
    <row r="52" spans="1:2" ht="12.75">
      <c r="A52" s="17" t="str">
        <f>'NORTH FORK'!A25</f>
        <v>SW CBCU - M&amp;I</v>
      </c>
      <c r="B52" s="17">
        <f>B20*MI_CUPercent</f>
        <v>0</v>
      </c>
    </row>
    <row r="53" spans="1:3" ht="12.75">
      <c r="A53" s="143" t="str">
        <f>'MEDICINE CREEK'!A37</f>
        <v>SW CBCU - Irrigation - Non Federal Canals - Below Gage</v>
      </c>
      <c r="B53" s="168">
        <f>B21*CanalCUPercent</f>
        <v>0</v>
      </c>
      <c r="C53" s="83"/>
    </row>
    <row r="54" spans="1:3" ht="12.75">
      <c r="A54" s="143" t="str">
        <f>'MEDICINE CREEK'!A38</f>
        <v>SW CBCU - Irrigation - Small Pumps - Below Gage</v>
      </c>
      <c r="B54" s="168">
        <f>B22*PumperCUPercent</f>
        <v>0</v>
      </c>
      <c r="C54" s="83"/>
    </row>
    <row r="55" spans="1:3" ht="12.75">
      <c r="A55" s="143" t="str">
        <f>'MEDICINE CREEK'!A39</f>
        <v>SW CBCU - M&amp;I - Below Gage</v>
      </c>
      <c r="B55" s="168">
        <f>B23*MI_CUPercent</f>
        <v>0</v>
      </c>
      <c r="C55" s="83"/>
    </row>
    <row r="56" spans="1:2" ht="12.75">
      <c r="A56" s="17" t="str">
        <f>'NORTH FORK'!A26</f>
        <v>Non-Federal Reservoir Evaporation</v>
      </c>
      <c r="B56" s="17">
        <f>B26</f>
        <v>0</v>
      </c>
    </row>
    <row r="57" spans="1:2" ht="12.75">
      <c r="A57" s="17" t="str">
        <f>'MEDICINE CREEK'!A41</f>
        <v>Non-Federal Reservoir Evaporation - Below gage</v>
      </c>
      <c r="B57" s="17">
        <f>B27</f>
        <v>0</v>
      </c>
    </row>
    <row r="58" spans="1:3" ht="12.75">
      <c r="A58" s="17" t="str">
        <f>'NORTH FORK'!A27</f>
        <v>SW CBCU</v>
      </c>
      <c r="B58" s="80">
        <f>B50+B51+B52+B53+B54+B55+B56+B57</f>
        <v>0</v>
      </c>
      <c r="C58" s="77"/>
    </row>
    <row r="59" spans="1:2" ht="12.75">
      <c r="A59" s="17" t="str">
        <f>'NORTH FORK'!A28</f>
        <v>GW CBCU</v>
      </c>
      <c r="B59" s="17">
        <f>+B8</f>
        <v>777</v>
      </c>
    </row>
    <row r="60" spans="1:2" ht="12.75">
      <c r="A60" s="17" t="str">
        <f>'NORTH FORK'!A29</f>
        <v>Total CBCU</v>
      </c>
      <c r="B60" s="80">
        <f>(ROUND(SUM(B58:B59),-1))</f>
        <v>780</v>
      </c>
    </row>
    <row r="61" spans="1:2" ht="12.75">
      <c r="A61" s="143" t="s">
        <v>84</v>
      </c>
      <c r="B61" s="17"/>
    </row>
    <row r="62" spans="1:2" ht="12.75">
      <c r="A62" s="52" t="s">
        <v>427</v>
      </c>
      <c r="B62" s="17"/>
    </row>
    <row r="63" spans="1:2" ht="12.75">
      <c r="A63" s="17" t="s">
        <v>251</v>
      </c>
      <c r="B63" s="80">
        <f>SUM(B53:B55)+B57</f>
        <v>0</v>
      </c>
    </row>
    <row r="64" spans="1:2" ht="12.75">
      <c r="A64" s="143" t="s">
        <v>428</v>
      </c>
      <c r="B64" s="80">
        <f>B63</f>
        <v>0</v>
      </c>
    </row>
    <row r="65" spans="1:2" ht="12.75">
      <c r="A65" s="143"/>
      <c r="B65" s="17"/>
    </row>
    <row r="66" spans="1:2" ht="12.75">
      <c r="A66" s="5" t="s">
        <v>185</v>
      </c>
      <c r="B66" s="17"/>
    </row>
    <row r="67" spans="1:2" ht="12.75">
      <c r="A67" s="143" t="str">
        <f>'NORTH FORK'!A42</f>
        <v>Total SW CBCU</v>
      </c>
      <c r="B67" s="80">
        <f>+B45+B58+B36</f>
        <v>19.5</v>
      </c>
    </row>
    <row r="68" spans="1:2" ht="12.75">
      <c r="A68" s="143" t="str">
        <f>'NORTH FORK'!A43</f>
        <v>Total GW CBCU</v>
      </c>
      <c r="B68" s="80">
        <f>+B37+B46+B59</f>
        <v>1051</v>
      </c>
    </row>
    <row r="69" spans="1:2" ht="12.75">
      <c r="A69" s="143" t="str">
        <f>'NORTH FORK'!A44</f>
        <v>Total Basin CBCU</v>
      </c>
      <c r="B69" s="80">
        <f>(ROUND(SUM(B67:B68),-1))</f>
        <v>1070</v>
      </c>
    </row>
    <row r="70" spans="1:2" ht="12.75">
      <c r="A70" s="143" t="s">
        <v>84</v>
      </c>
      <c r="B70" s="17"/>
    </row>
    <row r="71" spans="1:2" ht="15.75">
      <c r="A71" s="11" t="s">
        <v>10</v>
      </c>
      <c r="B71" s="17"/>
    </row>
    <row r="72" spans="1:2" ht="12.75">
      <c r="A72" s="80" t="str">
        <f>A11</f>
        <v>Beaver Creek Near Beaver City</v>
      </c>
      <c r="B72" s="80">
        <f>B11</f>
        <v>220</v>
      </c>
    </row>
    <row r="73" spans="1:2" ht="12.75">
      <c r="A73" s="17" t="str">
        <f>'NORTH FORK'!A49</f>
        <v>Colorado CBCU</v>
      </c>
      <c r="B73" s="80">
        <f>+B38</f>
        <v>0</v>
      </c>
    </row>
    <row r="74" spans="1:2" ht="12.75">
      <c r="A74" s="17" t="str">
        <f>'NORTH FORK'!A50</f>
        <v>Kansas CBCU</v>
      </c>
      <c r="B74" s="80">
        <f>+B47</f>
        <v>290</v>
      </c>
    </row>
    <row r="75" spans="1:2" ht="12.75">
      <c r="A75" s="17" t="str">
        <f>'NORTH FORK'!A51</f>
        <v>Nebraska CBCU</v>
      </c>
      <c r="B75" s="80">
        <f>+B60</f>
        <v>780</v>
      </c>
    </row>
    <row r="76" spans="1:2" ht="12.75">
      <c r="A76" s="17" t="s">
        <v>251</v>
      </c>
      <c r="B76" s="80">
        <f>B63</f>
        <v>0</v>
      </c>
    </row>
    <row r="77" spans="1:3" ht="12.75">
      <c r="A77" s="17" t="str">
        <f>'NORTH FORK'!A52</f>
        <v>Imported Water</v>
      </c>
      <c r="B77" s="17">
        <f>B5</f>
        <v>0</v>
      </c>
      <c r="C77" s="77"/>
    </row>
    <row r="78" spans="1:3" ht="12.75">
      <c r="A78" s="17" t="str">
        <f>'NORTH FORK'!A53</f>
        <v>Virgin Water Supply</v>
      </c>
      <c r="B78" s="80">
        <f>ROUND(SUM(B72:B75)-B77-B76,-1)</f>
        <v>1290</v>
      </c>
      <c r="C78" s="77"/>
    </row>
    <row r="79" spans="1:2" ht="12.75">
      <c r="A79" s="17" t="str">
        <f>'NORTH FORK'!A54</f>
        <v>Adjustment For Flood Flows</v>
      </c>
      <c r="B79" s="17">
        <f>B28</f>
        <v>0</v>
      </c>
    </row>
    <row r="80" spans="1:2" ht="12.75">
      <c r="A80" s="17" t="str">
        <f>'NORTH FORK'!A55</f>
        <v>Computed Water Supply</v>
      </c>
      <c r="B80" s="80">
        <f>+ROUND(B78-B79,-1)</f>
        <v>1290</v>
      </c>
    </row>
    <row r="81" spans="1:2" ht="12.75">
      <c r="A81" s="143" t="s">
        <v>84</v>
      </c>
      <c r="B81" s="17"/>
    </row>
    <row r="82" spans="1:2" ht="15.75">
      <c r="A82" s="11" t="s">
        <v>12</v>
      </c>
      <c r="B82" s="13"/>
    </row>
    <row r="83" spans="1:2" ht="12.75">
      <c r="A83" s="17" t="str">
        <f>'NORTH FORK'!A58</f>
        <v>Colorado Percent Of Allocation</v>
      </c>
      <c r="B83" s="171">
        <f>'T2'!D12</f>
        <v>0.2</v>
      </c>
    </row>
    <row r="84" spans="1:2" ht="12.75">
      <c r="A84" s="17" t="str">
        <f>'NORTH FORK'!A59</f>
        <v>Colorado Allocation</v>
      </c>
      <c r="B84" s="80">
        <f>ROUND(+B80*B83,-1)</f>
        <v>260</v>
      </c>
    </row>
    <row r="85" spans="1:2" ht="12.75">
      <c r="A85" s="17" t="str">
        <f>'NORTH FORK'!A60</f>
        <v>Kansas Percent Of Allocation</v>
      </c>
      <c r="B85" s="171">
        <f>'T2'!F12</f>
        <v>0.388</v>
      </c>
    </row>
    <row r="86" spans="1:2" ht="12.75">
      <c r="A86" s="17" t="str">
        <f>'NORTH FORK'!A61</f>
        <v>Kansas Allocation</v>
      </c>
      <c r="B86" s="80">
        <f>ROUND(B80*B85,-1)</f>
        <v>500</v>
      </c>
    </row>
    <row r="87" spans="1:2" ht="12.75">
      <c r="A87" s="17" t="str">
        <f>'NORTH FORK'!A62</f>
        <v>Nebraska Percent Of Allocation</v>
      </c>
      <c r="B87" s="171">
        <f>'T2'!H12</f>
        <v>0.406</v>
      </c>
    </row>
    <row r="88" spans="1:2" ht="12.75">
      <c r="A88" s="2" t="str">
        <f>'NORTH FORK'!A63</f>
        <v>Nebraska Allocation</v>
      </c>
      <c r="B88" s="4">
        <f>ROUND(B80*B87,-1)</f>
        <v>520</v>
      </c>
    </row>
    <row r="89" spans="1:2" ht="12.75">
      <c r="A89" s="2" t="str">
        <f>'NORTH FORK'!A64</f>
        <v>Total Basin Allocation</v>
      </c>
      <c r="B89" s="4">
        <f>+B84+B86+B88</f>
        <v>1280</v>
      </c>
    </row>
    <row r="90" spans="1:2" ht="12.75">
      <c r="A90" s="2" t="s">
        <v>193</v>
      </c>
      <c r="B90" s="16">
        <f>'T2'!J12</f>
        <v>0.006</v>
      </c>
    </row>
    <row r="91" spans="1:2" ht="12.75">
      <c r="A91" s="2" t="str">
        <f>'NORTH FORK'!A66</f>
        <v>Quantity Of Unallocated Supply</v>
      </c>
      <c r="B91" s="4">
        <f>+B80-B84-B86-B88</f>
        <v>10</v>
      </c>
    </row>
  </sheetData>
  <sheetProtection/>
  <printOptions headings="1"/>
  <pageMargins left="0.75" right="0.75" top="0.75" bottom="0.5" header="0.25" footer="0.5"/>
  <pageSetup fitToHeight="2" fitToWidth="1" horizontalDpi="600" verticalDpi="600" orientation="portrait" paperSize="3" r:id="rId1"/>
  <headerFooter alignWithMargins="0">
    <oddHeader>&amp;LRRCA
Compact Accounting&amp;C&amp;A SUB-BASIN&amp;RPage &amp;P of &amp;N</oddHeader>
  </headerFooter>
  <rowBreaks count="1" manualBreakCount="1">
    <brk id="60" max="2" man="1"/>
  </rowBreaks>
</worksheet>
</file>

<file path=xl/worksheets/sheet13.xml><?xml version="1.0" encoding="utf-8"?>
<worksheet xmlns="http://schemas.openxmlformats.org/spreadsheetml/2006/main" xmlns:r="http://schemas.openxmlformats.org/officeDocument/2006/relationships">
  <sheetPr codeName="Sheet13"/>
  <dimension ref="A1:D85"/>
  <sheetViews>
    <sheetView zoomScalePageLayoutView="0" workbookViewId="0" topLeftCell="A1">
      <selection activeCell="A1" sqref="A1"/>
    </sheetView>
  </sheetViews>
  <sheetFormatPr defaultColWidth="9.140625" defaultRowHeight="12.75"/>
  <cols>
    <col min="1" max="1" width="69.8515625" style="0" customWidth="1"/>
    <col min="2" max="2" width="10.421875" style="0" customWidth="1"/>
    <col min="4" max="4" width="55.421875" style="0" customWidth="1"/>
  </cols>
  <sheetData>
    <row r="1" spans="1:2" ht="15.75">
      <c r="A1" s="62" t="s">
        <v>226</v>
      </c>
      <c r="B1">
        <v>2003</v>
      </c>
    </row>
    <row r="2" spans="1:4" ht="12.75">
      <c r="D2" s="14"/>
    </row>
    <row r="3" spans="1:4" ht="15.75">
      <c r="A3" s="10" t="s">
        <v>180</v>
      </c>
      <c r="D3" s="1"/>
    </row>
    <row r="4" spans="1:4" ht="12.75">
      <c r="A4" s="8" t="s">
        <v>181</v>
      </c>
      <c r="C4" s="1"/>
      <c r="D4" s="1"/>
    </row>
    <row r="5" spans="1:3" ht="12.75">
      <c r="A5" s="55" t="str">
        <f>+INPUT!B56</f>
        <v>Imported Water Nebraska</v>
      </c>
      <c r="B5" s="55">
        <f>+INPUT!C56</f>
        <v>0</v>
      </c>
      <c r="C5" s="1"/>
    </row>
    <row r="6" spans="1:3" ht="12.75">
      <c r="A6" s="55" t="str">
        <f>+INPUT!B34</f>
        <v>GW CBCU Colorado</v>
      </c>
      <c r="B6" s="55">
        <f>+INPUT!C34</f>
        <v>0</v>
      </c>
      <c r="C6" s="1"/>
    </row>
    <row r="7" spans="1:2" ht="12.75">
      <c r="A7" s="55" t="str">
        <f>+INPUT!B35</f>
        <v>GW CBCU Kansas</v>
      </c>
      <c r="B7" s="55">
        <f>+INPUT!C35</f>
        <v>-274</v>
      </c>
    </row>
    <row r="8" spans="1:2" ht="12" customHeight="1">
      <c r="A8" s="55" t="str">
        <f>+INPUT!B36</f>
        <v>GW CBCU Nebraska</v>
      </c>
      <c r="B8" s="55">
        <f>+INPUT!C36</f>
        <v>500</v>
      </c>
    </row>
    <row r="9" spans="1:2" ht="12.75">
      <c r="A9" s="2"/>
      <c r="B9" s="2"/>
    </row>
    <row r="10" spans="1:2" ht="12.75">
      <c r="A10" s="5" t="s">
        <v>183</v>
      </c>
      <c r="B10" s="2"/>
    </row>
    <row r="11" spans="1:2" ht="12.75">
      <c r="A11" s="55" t="str">
        <f>+INPUT!B193</f>
        <v>Sappa Creek Near Stamford</v>
      </c>
      <c r="B11" s="55">
        <f>+INPUT!C193</f>
        <v>179.11552</v>
      </c>
    </row>
    <row r="12" spans="1:2" ht="12.75">
      <c r="A12" s="55" t="str">
        <f>+INPUT!B192</f>
        <v>Beaver Creek Near Beaver City</v>
      </c>
      <c r="B12" s="55">
        <f>+INPUT!C192</f>
        <v>220</v>
      </c>
    </row>
    <row r="13" spans="1:2" ht="12.75">
      <c r="A13" s="152" t="str">
        <f>+INPUT!B122</f>
        <v>SW Diversions - Irrigation - Non-Federal Canals- Kansas</v>
      </c>
      <c r="B13" s="152">
        <f>+INPUT!C122</f>
        <v>0</v>
      </c>
    </row>
    <row r="14" spans="1:2" ht="12.75">
      <c r="A14" s="152" t="str">
        <f>+INPUT!B123</f>
        <v>SW Diversions - Irrigation - Small Pumps - Kansas</v>
      </c>
      <c r="B14" s="152">
        <f>+INPUT!C123</f>
        <v>14</v>
      </c>
    </row>
    <row r="15" spans="1:2" ht="12.75">
      <c r="A15" s="152" t="str">
        <f>+INPUT!B124</f>
        <v>SW Diversions - M&amp;I - Kansas</v>
      </c>
      <c r="B15" s="152">
        <f>+INPUT!C124</f>
        <v>0</v>
      </c>
    </row>
    <row r="16" spans="1:2" ht="12.75">
      <c r="A16" s="152" t="str">
        <f>+INPUT!B125</f>
        <v>SW Diversions - Irrigation - Non-Federal Canals - Nebraska</v>
      </c>
      <c r="B16" s="152">
        <f>+INPUT!C125</f>
        <v>0</v>
      </c>
    </row>
    <row r="17" spans="1:2" ht="12.75">
      <c r="A17" s="152" t="str">
        <f>+INPUT!B126</f>
        <v>SW Diversions - Irrigation - Small Pumps - Nebraska</v>
      </c>
      <c r="B17" s="152">
        <f>+INPUT!C126</f>
        <v>0</v>
      </c>
    </row>
    <row r="18" spans="1:2" ht="12.75">
      <c r="A18" s="152" t="str">
        <f>+INPUT!B127</f>
        <v>SW Diversions - M&amp;I - Nebraska</v>
      </c>
      <c r="B18" s="152">
        <f>+INPUT!C127</f>
        <v>0</v>
      </c>
    </row>
    <row r="19" spans="1:2" ht="12.75">
      <c r="A19" s="152" t="str">
        <f>+INPUT!B128</f>
        <v>SW Diversions - Irrigation - Non-Federal Canals - Nebraska -Below Gage</v>
      </c>
      <c r="B19" s="152">
        <f>+INPUT!C128</f>
        <v>0</v>
      </c>
    </row>
    <row r="20" spans="1:2" ht="12.75">
      <c r="A20" s="152" t="str">
        <f>+INPUT!B129</f>
        <v>SW Diversions - Irrigation - Small Pumps -Nebraska - Below Gage</v>
      </c>
      <c r="B20" s="152">
        <f>+INPUT!C129</f>
        <v>19.8</v>
      </c>
    </row>
    <row r="21" spans="1:2" ht="12.75">
      <c r="A21" s="152" t="str">
        <f>+INPUT!B130</f>
        <v>SW Diversions - M&amp;I - Nebraska - Below Gage</v>
      </c>
      <c r="B21" s="152">
        <f>+INPUT!C130</f>
        <v>0</v>
      </c>
    </row>
    <row r="22" spans="1:2" ht="12.75">
      <c r="A22" s="152" t="str">
        <f>+INPUT!B174</f>
        <v>Non-Federal Reservoir Evaporation - Kansas</v>
      </c>
      <c r="B22" s="152">
        <f>+INPUT!C174</f>
        <v>0</v>
      </c>
    </row>
    <row r="23" spans="1:2" ht="12.75">
      <c r="A23" s="152" t="str">
        <f>+INPUT!B175</f>
        <v>Non-Federal Reservoir Evaporation - Nebraska</v>
      </c>
      <c r="B23" s="152">
        <f>+INPUT!C175</f>
        <v>0</v>
      </c>
    </row>
    <row r="24" spans="1:2" ht="12.75">
      <c r="A24" s="152" t="str">
        <f>+INPUT!B176</f>
        <v>Non-Federal Reservoir Evaporation - Nebraska - Below Gage</v>
      </c>
      <c r="B24" s="152">
        <f>+INPUT!C176</f>
        <v>0</v>
      </c>
    </row>
    <row r="25" spans="1:2" ht="12.75">
      <c r="A25" s="152" t="str">
        <f>+INPUT!B210</f>
        <v>Sappa Flood Flow</v>
      </c>
      <c r="B25" s="152">
        <f>+INPUT!C210</f>
        <v>0</v>
      </c>
    </row>
    <row r="26" spans="1:2" ht="12.75">
      <c r="A26" s="167" t="s">
        <v>84</v>
      </c>
      <c r="B26" s="17"/>
    </row>
    <row r="27" spans="1:2" ht="15.75">
      <c r="A27" s="10" t="s">
        <v>266</v>
      </c>
      <c r="B27" s="17"/>
    </row>
    <row r="28" spans="1:2" ht="12.75">
      <c r="A28" s="8" t="s">
        <v>0</v>
      </c>
      <c r="B28" s="17"/>
    </row>
    <row r="29" spans="1:2" ht="12.75">
      <c r="A29" s="17" t="str">
        <f>'NORTH FORK'!A28</f>
        <v>GW CBCU</v>
      </c>
      <c r="B29" s="17">
        <f>+B6</f>
        <v>0</v>
      </c>
    </row>
    <row r="30" spans="1:2" ht="12.75">
      <c r="A30" s="17" t="str">
        <f>'NORTH FORK'!A29</f>
        <v>Total CBCU</v>
      </c>
      <c r="B30" s="80">
        <f>(ROUND(SUM(B29:B29),-1))</f>
        <v>0</v>
      </c>
    </row>
    <row r="31" spans="1:2" ht="12.75">
      <c r="A31" s="17" t="s">
        <v>84</v>
      </c>
      <c r="B31" s="17"/>
    </row>
    <row r="32" spans="1:2" ht="12.75">
      <c r="A32" s="8" t="s">
        <v>184</v>
      </c>
      <c r="B32" s="17"/>
    </row>
    <row r="33" spans="1:3" ht="12.75">
      <c r="A33" s="12" t="str">
        <f>'NORTH FORK'!A23</f>
        <v>SW CBCU - Irrigation - Non Federal Canals</v>
      </c>
      <c r="B33" s="143">
        <f>+B13*CanalCUPercent</f>
        <v>0</v>
      </c>
      <c r="C33" s="19"/>
    </row>
    <row r="34" spans="1:3" ht="12.75">
      <c r="A34" s="12" t="str">
        <f>'NORTH FORK'!A24</f>
        <v>SW CBCU - Irrigation - Small Pumps</v>
      </c>
      <c r="B34" s="143">
        <f>+B14*PumperCUPercent</f>
        <v>10.5</v>
      </c>
      <c r="C34" s="19"/>
    </row>
    <row r="35" spans="1:3" ht="12.75">
      <c r="A35" s="12" t="str">
        <f>'NORTH FORK'!A25</f>
        <v>SW CBCU - M&amp;I</v>
      </c>
      <c r="B35" s="143">
        <f>+B15*MI_CUPercent</f>
        <v>0</v>
      </c>
      <c r="C35" s="19"/>
    </row>
    <row r="36" spans="1:2" ht="12.75">
      <c r="A36" s="12" t="str">
        <f>'NORTH FORK'!A26</f>
        <v>Non-Federal Reservoir Evaporation</v>
      </c>
      <c r="B36" s="17">
        <f>B22</f>
        <v>0</v>
      </c>
    </row>
    <row r="37" spans="1:3" ht="12.75">
      <c r="A37" s="12" t="str">
        <f>'NORTH FORK'!A27</f>
        <v>SW CBCU</v>
      </c>
      <c r="B37" s="80">
        <f>B33+B34+B35+B36</f>
        <v>10.5</v>
      </c>
      <c r="C37" s="77"/>
    </row>
    <row r="38" spans="1:2" ht="12.75">
      <c r="A38" s="12" t="str">
        <f>'NORTH FORK'!A28</f>
        <v>GW CBCU</v>
      </c>
      <c r="B38" s="17">
        <f>+B7</f>
        <v>-274</v>
      </c>
    </row>
    <row r="39" spans="1:2" ht="12.75">
      <c r="A39" s="12" t="str">
        <f>'NORTH FORK'!A29</f>
        <v>Total CBCU</v>
      </c>
      <c r="B39" s="80">
        <f>(ROUND(SUM(B37:B38),-1))</f>
        <v>-260</v>
      </c>
    </row>
    <row r="40" spans="1:2" ht="12.75">
      <c r="A40" s="17" t="s">
        <v>84</v>
      </c>
      <c r="B40" s="17"/>
    </row>
    <row r="41" spans="1:2" ht="12.75">
      <c r="A41" s="8" t="s">
        <v>1</v>
      </c>
      <c r="B41" s="17"/>
    </row>
    <row r="42" spans="1:2" ht="12.75">
      <c r="A42" s="8"/>
      <c r="B42" s="17"/>
    </row>
    <row r="43" spans="1:2" ht="12.75">
      <c r="A43" s="17" t="str">
        <f>'MEDICINE CREEK'!A34</f>
        <v>SW CBCU - Irrigation - Non Federal Canals</v>
      </c>
      <c r="B43" s="80">
        <f>B16*CanalCUPercent</f>
        <v>0</v>
      </c>
    </row>
    <row r="44" spans="1:2" ht="12.75">
      <c r="A44" s="17" t="str">
        <f>'MEDICINE CREEK'!A35</f>
        <v>SW CBCU - Irrigation - Small Pumps</v>
      </c>
      <c r="B44" s="80">
        <f>B17*PumperCUPercent</f>
        <v>0</v>
      </c>
    </row>
    <row r="45" spans="1:2" ht="12.75">
      <c r="A45" s="17" t="str">
        <f>'MEDICINE CREEK'!A36</f>
        <v>SW CBCU - M&amp;I</v>
      </c>
      <c r="B45" s="80">
        <f>B18*MI_CUPercent</f>
        <v>0</v>
      </c>
    </row>
    <row r="46" spans="1:2" ht="12.75">
      <c r="A46" s="17" t="str">
        <f>'MEDICINE CREEK'!A37</f>
        <v>SW CBCU - Irrigation - Non Federal Canals - Below Gage</v>
      </c>
      <c r="B46" s="168">
        <f>B19*CanalCUPercent</f>
        <v>0</v>
      </c>
    </row>
    <row r="47" spans="1:2" ht="12.75">
      <c r="A47" s="17" t="str">
        <f>'MEDICINE CREEK'!A38</f>
        <v>SW CBCU - Irrigation - Small Pumps - Below Gage</v>
      </c>
      <c r="B47" s="168">
        <f>B20*PumperCUPercent</f>
        <v>14.850000000000001</v>
      </c>
    </row>
    <row r="48" spans="1:2" ht="12.75">
      <c r="A48" s="17" t="str">
        <f>'MEDICINE CREEK'!A39</f>
        <v>SW CBCU - M&amp;I - Below Gage</v>
      </c>
      <c r="B48" s="168">
        <f>B21*MI_CUPercent</f>
        <v>0</v>
      </c>
    </row>
    <row r="49" spans="1:2" ht="12.75">
      <c r="A49" s="143" t="str">
        <f>'MEDICINE CREEK'!A40</f>
        <v>Non-Federal Reservoir Evaporation</v>
      </c>
      <c r="B49" s="143">
        <f>B23</f>
        <v>0</v>
      </c>
    </row>
    <row r="50" spans="1:2" ht="12.75">
      <c r="A50" s="143" t="str">
        <f>'MEDICINE CREEK'!A41</f>
        <v>Non-Federal Reservoir Evaporation - Below gage</v>
      </c>
      <c r="B50" s="143">
        <f>B24</f>
        <v>0</v>
      </c>
    </row>
    <row r="51" spans="1:3" ht="12.75">
      <c r="A51" s="17" t="str">
        <f>'MEDICINE CREEK'!A42</f>
        <v>SW CBCU</v>
      </c>
      <c r="B51" s="168">
        <f>B43+B44+B45+B46+B47+B48+B49</f>
        <v>14.850000000000001</v>
      </c>
      <c r="C51" s="77"/>
    </row>
    <row r="52" spans="1:3" ht="12.75">
      <c r="A52" s="17" t="str">
        <f>'MEDICINE CREEK'!A43</f>
        <v>GW CBCU</v>
      </c>
      <c r="B52" s="168">
        <f>+B8</f>
        <v>500</v>
      </c>
      <c r="C52" s="77"/>
    </row>
    <row r="53" spans="1:2" ht="12.75">
      <c r="A53" s="17" t="str">
        <f>'MEDICINE CREEK'!A44</f>
        <v>Total CBCU</v>
      </c>
      <c r="B53" s="80">
        <f>(ROUND(SUM(B51:B52),-1))</f>
        <v>510</v>
      </c>
    </row>
    <row r="54" spans="1:2" ht="12.75">
      <c r="A54" s="143" t="s">
        <v>84</v>
      </c>
      <c r="B54" s="17"/>
    </row>
    <row r="55" spans="1:2" ht="12.75">
      <c r="A55" s="52" t="s">
        <v>427</v>
      </c>
      <c r="B55" s="17"/>
    </row>
    <row r="56" spans="1:2" ht="12.75">
      <c r="A56" s="17" t="s">
        <v>251</v>
      </c>
      <c r="B56" s="80">
        <f>B46+B47+B48+B50</f>
        <v>14.850000000000001</v>
      </c>
    </row>
    <row r="57" spans="1:2" ht="12.75">
      <c r="A57" s="143" t="str">
        <f>'MEDICINE CREEK'!A53</f>
        <v>Total</v>
      </c>
      <c r="B57" s="80">
        <f>B56</f>
        <v>14.850000000000001</v>
      </c>
    </row>
    <row r="58" spans="1:2" ht="12.75">
      <c r="A58" s="143" t="s">
        <v>84</v>
      </c>
      <c r="B58" s="17"/>
    </row>
    <row r="59" spans="1:2" ht="12.75">
      <c r="A59" s="5" t="s">
        <v>185</v>
      </c>
      <c r="B59" s="17"/>
    </row>
    <row r="60" spans="1:2" ht="12.75">
      <c r="A60" s="143" t="str">
        <f>'NORTH FORK'!A42</f>
        <v>Total SW CBCU</v>
      </c>
      <c r="B60" s="80">
        <f>+B37+B51</f>
        <v>25.35</v>
      </c>
    </row>
    <row r="61" spans="1:2" ht="12.75">
      <c r="A61" s="143" t="str">
        <f>'NORTH FORK'!A43</f>
        <v>Total GW CBCU</v>
      </c>
      <c r="B61" s="80">
        <f>+B29+B38+B52</f>
        <v>226</v>
      </c>
    </row>
    <row r="62" spans="1:2" ht="12.75">
      <c r="A62" s="143" t="str">
        <f>'NORTH FORK'!A44</f>
        <v>Total Basin CBCU</v>
      </c>
      <c r="B62" s="80">
        <f>SUM(B60:B61)</f>
        <v>251.35</v>
      </c>
    </row>
    <row r="63" spans="1:2" ht="12.75">
      <c r="A63" s="143" t="s">
        <v>84</v>
      </c>
      <c r="B63" s="17"/>
    </row>
    <row r="64" spans="1:2" ht="15.75">
      <c r="A64" s="11" t="s">
        <v>10</v>
      </c>
      <c r="B64" s="17"/>
    </row>
    <row r="65" spans="1:2" ht="12.75">
      <c r="A65" s="80" t="str">
        <f>A11</f>
        <v>Sappa Creek Near Stamford</v>
      </c>
      <c r="B65" s="80">
        <f>B11</f>
        <v>179.11552</v>
      </c>
    </row>
    <row r="66" spans="1:2" ht="12.75">
      <c r="A66" s="80" t="str">
        <f>A12</f>
        <v>Beaver Creek Near Beaver City</v>
      </c>
      <c r="B66" s="80">
        <f>B12</f>
        <v>220</v>
      </c>
    </row>
    <row r="67" spans="1:2" ht="12.75">
      <c r="A67" s="17" t="str">
        <f>'NORTH FORK'!A49</f>
        <v>Colorado CBCU</v>
      </c>
      <c r="B67" s="80">
        <f>+B30</f>
        <v>0</v>
      </c>
    </row>
    <row r="68" spans="1:2" ht="12.75">
      <c r="A68" s="17" t="str">
        <f>'NORTH FORK'!A50</f>
        <v>Kansas CBCU</v>
      </c>
      <c r="B68" s="80">
        <f>+B39</f>
        <v>-260</v>
      </c>
    </row>
    <row r="69" spans="1:2" ht="12.75">
      <c r="A69" s="17" t="str">
        <f>'NORTH FORK'!A51</f>
        <v>Nebraska CBCU</v>
      </c>
      <c r="B69" s="80">
        <f>B53</f>
        <v>510</v>
      </c>
    </row>
    <row r="70" spans="1:2" ht="12.75">
      <c r="A70" s="17" t="str">
        <f>A56</f>
        <v>SW CBCU Below The Gage</v>
      </c>
      <c r="B70" s="80">
        <f>B57</f>
        <v>14.850000000000001</v>
      </c>
    </row>
    <row r="71" spans="1:3" ht="12.75">
      <c r="A71" s="17" t="str">
        <f>'NORTH FORK'!A52</f>
        <v>Imported Water</v>
      </c>
      <c r="B71" s="17">
        <f>+B5</f>
        <v>0</v>
      </c>
      <c r="C71" s="77"/>
    </row>
    <row r="72" spans="1:3" ht="12.75">
      <c r="A72" s="17" t="str">
        <f>'NORTH FORK'!A53</f>
        <v>Virgin Water Supply</v>
      </c>
      <c r="B72" s="168">
        <f>ROUND(B65-B66+B67+B68+B69-B70-B71,-1)</f>
        <v>190</v>
      </c>
      <c r="C72" s="212"/>
    </row>
    <row r="73" spans="1:2" ht="12.75">
      <c r="A73" s="17" t="str">
        <f>'NORTH FORK'!A54</f>
        <v>Adjustment For Flood Flows</v>
      </c>
      <c r="B73" s="17">
        <f>B25</f>
        <v>0</v>
      </c>
    </row>
    <row r="74" spans="1:2" ht="12.75">
      <c r="A74" s="2" t="str">
        <f>'NORTH FORK'!A55</f>
        <v>Computed Water Supply</v>
      </c>
      <c r="B74" s="4">
        <f>+ROUND(B72-B73,-1)</f>
        <v>190</v>
      </c>
    </row>
    <row r="75" spans="1:2" ht="12.75">
      <c r="A75" s="9" t="s">
        <v>84</v>
      </c>
      <c r="B75" s="2"/>
    </row>
    <row r="76" spans="1:2" ht="15.75">
      <c r="A76" s="11" t="s">
        <v>12</v>
      </c>
      <c r="B76" s="13"/>
    </row>
    <row r="77" spans="1:2" ht="12.75">
      <c r="A77" s="2" t="str">
        <f>'NORTH FORK'!A58</f>
        <v>Colorado Percent Of Allocation</v>
      </c>
      <c r="B77" s="79">
        <f>'T2'!D13</f>
        <v>0</v>
      </c>
    </row>
    <row r="78" spans="1:2" ht="12.75">
      <c r="A78" s="2" t="str">
        <f>'NORTH FORK'!A59</f>
        <v>Colorado Allocation</v>
      </c>
      <c r="B78" s="32">
        <f>ROUND(+B74*B77,-1)</f>
        <v>0</v>
      </c>
    </row>
    <row r="79" spans="1:2" ht="12.75">
      <c r="A79" s="2" t="str">
        <f>'NORTH FORK'!A60</f>
        <v>Kansas Percent Of Allocation</v>
      </c>
      <c r="B79" s="79">
        <f>'T2'!F13</f>
        <v>0.411</v>
      </c>
    </row>
    <row r="80" spans="1:2" ht="12.75">
      <c r="A80" s="2" t="str">
        <f>'NORTH FORK'!A61</f>
        <v>Kansas Allocation</v>
      </c>
      <c r="B80" s="32">
        <f>ROUND(B74*B79,-1)</f>
        <v>80</v>
      </c>
    </row>
    <row r="81" spans="1:2" ht="12.75">
      <c r="A81" s="2" t="str">
        <f>'NORTH FORK'!A62</f>
        <v>Nebraska Percent Of Allocation</v>
      </c>
      <c r="B81" s="79">
        <f>'T2'!H13</f>
        <v>0.411</v>
      </c>
    </row>
    <row r="82" spans="1:2" ht="12.75">
      <c r="A82" s="2" t="str">
        <f>'NORTH FORK'!A63</f>
        <v>Nebraska Allocation</v>
      </c>
      <c r="B82" s="32">
        <f>ROUND(B74*B81,-1)</f>
        <v>80</v>
      </c>
    </row>
    <row r="83" spans="1:2" ht="12.75">
      <c r="A83" s="2" t="str">
        <f>'NORTH FORK'!A64</f>
        <v>Total Basin Allocation</v>
      </c>
      <c r="B83" s="32">
        <f>+B78+B80+B82</f>
        <v>160</v>
      </c>
    </row>
    <row r="84" spans="1:2" ht="12.75">
      <c r="A84" s="2" t="str">
        <f>'NORTH FORK'!A65</f>
        <v>Percent Of Supply Not Allocated</v>
      </c>
      <c r="B84" s="79">
        <f>'T2'!J13</f>
        <v>0.178</v>
      </c>
    </row>
    <row r="85" spans="1:2" ht="12.75">
      <c r="A85" s="2" t="str">
        <f>'NORTH FORK'!A66</f>
        <v>Quantity Of Unallocated Supply</v>
      </c>
      <c r="B85" s="4">
        <f>+B74-B78-B80-B82</f>
        <v>30</v>
      </c>
    </row>
  </sheetData>
  <sheetProtection/>
  <printOptions headings="1"/>
  <pageMargins left="0.75" right="0.75" top="0.75" bottom="0.5" header="0.25" footer="0.5"/>
  <pageSetup fitToHeight="2" horizontalDpi="600" verticalDpi="600" orientation="portrait" paperSize="3" scale="96" r:id="rId1"/>
  <headerFooter alignWithMargins="0">
    <oddHeader>&amp;LRRCA
Compact Accounting&amp;C&amp;A SUB-BASIN&amp;RPage &amp;P of &amp;N</oddHeader>
  </headerFooter>
  <rowBreaks count="1" manualBreakCount="1">
    <brk id="56" max="1" man="1"/>
  </rowBreaks>
</worksheet>
</file>

<file path=xl/worksheets/sheet14.xml><?xml version="1.0" encoding="utf-8"?>
<worksheet xmlns="http://schemas.openxmlformats.org/spreadsheetml/2006/main" xmlns:r="http://schemas.openxmlformats.org/officeDocument/2006/relationships">
  <sheetPr codeName="Sheet14"/>
  <dimension ref="A1:C83"/>
  <sheetViews>
    <sheetView zoomScalePageLayoutView="0" workbookViewId="0" topLeftCell="A1">
      <selection activeCell="A1" sqref="A1"/>
    </sheetView>
  </sheetViews>
  <sheetFormatPr defaultColWidth="9.140625" defaultRowHeight="12.75"/>
  <cols>
    <col min="1" max="1" width="69.00390625" style="0" customWidth="1"/>
  </cols>
  <sheetData>
    <row r="1" spans="1:2" ht="15.75">
      <c r="A1" s="62" t="s">
        <v>224</v>
      </c>
      <c r="B1">
        <v>2003</v>
      </c>
    </row>
    <row r="2" ht="12.75"/>
    <row r="3" ht="15.75">
      <c r="A3" s="10" t="s">
        <v>180</v>
      </c>
    </row>
    <row r="4" ht="12.75">
      <c r="A4" s="8" t="s">
        <v>181</v>
      </c>
    </row>
    <row r="5" spans="1:2" ht="12.75">
      <c r="A5" s="55" t="str">
        <f>+INPUT!B57</f>
        <v>Imported Water Nebraska</v>
      </c>
      <c r="B5" s="55">
        <f>+INPUT!C57</f>
        <v>0</v>
      </c>
    </row>
    <row r="6" spans="1:2" ht="12.75">
      <c r="A6" s="55" t="str">
        <f>+INPUT!B37</f>
        <v>GW CBCU Colorado</v>
      </c>
      <c r="B6" s="55">
        <f>+INPUT!C37</f>
        <v>0</v>
      </c>
    </row>
    <row r="7" spans="1:2" ht="12.75">
      <c r="A7" s="55" t="str">
        <f>+INPUT!B38</f>
        <v>GW CBCU Kansas</v>
      </c>
      <c r="B7" s="55">
        <f>+INPUT!C38</f>
        <v>1679</v>
      </c>
    </row>
    <row r="8" spans="1:2" ht="12" customHeight="1">
      <c r="A8" s="55" t="str">
        <f>+INPUT!B39</f>
        <v>GW CBCU Nebraska</v>
      </c>
      <c r="B8" s="55">
        <f>+INPUT!C39</f>
        <v>0</v>
      </c>
    </row>
    <row r="9" spans="1:2" ht="12.75">
      <c r="A9" s="2" t="s">
        <v>84</v>
      </c>
      <c r="B9" s="2"/>
    </row>
    <row r="10" spans="1:2" ht="12.75">
      <c r="A10" s="5" t="s">
        <v>216</v>
      </c>
      <c r="B10" s="2"/>
    </row>
    <row r="11" spans="1:2" ht="12.75">
      <c r="A11" s="60" t="str">
        <f>+INPUT!B247</f>
        <v>Almena Canal % Return Flow</v>
      </c>
      <c r="B11" s="60">
        <f>+INPUT!C247</f>
        <v>0.52</v>
      </c>
    </row>
    <row r="12" spans="1:2" ht="12.75">
      <c r="A12" s="2" t="s">
        <v>84</v>
      </c>
      <c r="B12" s="2"/>
    </row>
    <row r="13" spans="1:2" ht="12.75">
      <c r="A13" s="5" t="s">
        <v>183</v>
      </c>
      <c r="B13" s="2"/>
    </row>
    <row r="14" spans="1:2" ht="12.75">
      <c r="A14" s="55" t="str">
        <f>+INPUT!B194</f>
        <v>Prairie Dog Creek Near Woodruff</v>
      </c>
      <c r="B14" s="55">
        <f>+INPUT!C194</f>
        <v>1087.4502400000001</v>
      </c>
    </row>
    <row r="15" spans="1:2" ht="12.75">
      <c r="A15" s="55" t="str">
        <f>+INPUT!B223</f>
        <v>Keith Sebelius Lake Evaporation</v>
      </c>
      <c r="B15" s="55">
        <f>+INPUT!C223</f>
        <v>2823</v>
      </c>
    </row>
    <row r="16" spans="1:2" ht="12.75">
      <c r="A16" s="55" t="str">
        <f>+INPUT!B224</f>
        <v>Keith Sebelius Lake Change In Storage</v>
      </c>
      <c r="B16" s="55">
        <f>+INPUT!C224</f>
        <v>-4338</v>
      </c>
    </row>
    <row r="17" spans="1:2" ht="12.75">
      <c r="A17" s="172" t="str">
        <f>+INPUT!B246</f>
        <v>Almena Canal Diversions</v>
      </c>
      <c r="B17" s="172">
        <f>+INPUT!C246</f>
        <v>3379</v>
      </c>
    </row>
    <row r="18" spans="1:2" ht="12.75">
      <c r="A18" s="172" t="str">
        <f>+INPUT!B131</f>
        <v>SW Diversions - Irrigation - Non-Federal Canals- Kansas</v>
      </c>
      <c r="B18" s="172">
        <f>+INPUT!C131</f>
        <v>0</v>
      </c>
    </row>
    <row r="19" spans="1:2" ht="12.75">
      <c r="A19" s="172" t="str">
        <f>+INPUT!B132</f>
        <v>SW Diversions - Irrigation - Small Pumps - Kansas</v>
      </c>
      <c r="B19" s="172">
        <f>+INPUT!C132</f>
        <v>273</v>
      </c>
    </row>
    <row r="20" spans="1:2" ht="12.75">
      <c r="A20" s="172" t="str">
        <f>+INPUT!B133</f>
        <v>SW Diversions - M&amp;I - Kansas</v>
      </c>
      <c r="B20" s="172">
        <f>+INPUT!C133</f>
        <v>548</v>
      </c>
    </row>
    <row r="21" spans="1:2" ht="12.75">
      <c r="A21" s="172" t="str">
        <f>+INPUT!B134</f>
        <v>SW Diversions - Irrigation - Non-Federal Canals - Nebraska -Below Gage</v>
      </c>
      <c r="B21" s="172">
        <f>+INPUT!C134</f>
        <v>0</v>
      </c>
    </row>
    <row r="22" spans="1:2" ht="12.75">
      <c r="A22" s="172" t="str">
        <f>+INPUT!B135</f>
        <v>SW Diversions - Irrigation - Small Pumps -Nebraska - Below Gage</v>
      </c>
      <c r="B22" s="172">
        <f>+INPUT!C135</f>
        <v>59.2</v>
      </c>
    </row>
    <row r="23" spans="1:2" ht="12.75">
      <c r="A23" s="172" t="str">
        <f>+INPUT!B136</f>
        <v>SW Diversions - M&amp;I - Nebraska - Below Gage</v>
      </c>
      <c r="B23" s="172">
        <f>+INPUT!C136</f>
        <v>0</v>
      </c>
    </row>
    <row r="24" spans="1:2" ht="12.75">
      <c r="A24" s="172" t="str">
        <f>+INPUT!B177</f>
        <v>Non-Federal Reservoir Evaporation - Kansas</v>
      </c>
      <c r="B24" s="172">
        <f>+INPUT!C177</f>
        <v>0</v>
      </c>
    </row>
    <row r="25" spans="1:2" ht="12.75">
      <c r="A25" s="172" t="str">
        <f>+INPUT!B178</f>
        <v>Non-Federal Reservoir Evaporation - Nebraska</v>
      </c>
      <c r="B25" s="172">
        <f>+INPUT!C178</f>
        <v>0</v>
      </c>
    </row>
    <row r="26" spans="1:2" ht="12.75">
      <c r="A26" s="172" t="str">
        <f>+INPUT!B211</f>
        <v>Prairie Dog Flood Flow</v>
      </c>
      <c r="B26" s="172">
        <f>+INPUT!C211</f>
        <v>0</v>
      </c>
    </row>
    <row r="27" spans="1:2" ht="12.75">
      <c r="A27" s="173" t="s">
        <v>84</v>
      </c>
      <c r="B27" s="147"/>
    </row>
    <row r="28" spans="1:2" ht="15.75">
      <c r="A28" s="174" t="s">
        <v>266</v>
      </c>
      <c r="B28" s="162"/>
    </row>
    <row r="29" spans="1:2" ht="12.75">
      <c r="A29" s="155" t="s">
        <v>0</v>
      </c>
      <c r="B29" s="156"/>
    </row>
    <row r="30" spans="1:2" ht="12.75">
      <c r="A30" s="156" t="str">
        <f>'NORTH FORK'!A38</f>
        <v>GW CBCU</v>
      </c>
      <c r="B30" s="156">
        <f>+B6</f>
        <v>0</v>
      </c>
    </row>
    <row r="31" spans="1:2" ht="12.75">
      <c r="A31" s="156" t="str">
        <f>'NORTH FORK'!A39</f>
        <v>Total CBCU</v>
      </c>
      <c r="B31" s="158">
        <f>(ROUND(SUM(B30:B30),-1))</f>
        <v>0</v>
      </c>
    </row>
    <row r="32" spans="1:2" ht="12.75">
      <c r="A32" s="156" t="s">
        <v>84</v>
      </c>
      <c r="B32" s="156"/>
    </row>
    <row r="33" spans="1:2" ht="12.75">
      <c r="A33" s="155" t="s">
        <v>184</v>
      </c>
      <c r="B33" s="156"/>
    </row>
    <row r="34" spans="1:2" ht="12.75">
      <c r="A34" s="156" t="str">
        <f>(LEFT(A17,13))&amp;" "&amp;"CBCU"</f>
        <v>Almena Canal  CBCU</v>
      </c>
      <c r="B34" s="156">
        <f>+B17*(1-B11)</f>
        <v>1621.9199999999998</v>
      </c>
    </row>
    <row r="35" spans="1:2" ht="12.75">
      <c r="A35" s="156" t="str">
        <f>'NORTH FORK'!A23</f>
        <v>SW CBCU - Irrigation - Non Federal Canals</v>
      </c>
      <c r="B35" s="156">
        <f>+B18*CanalCUPercent</f>
        <v>0</v>
      </c>
    </row>
    <row r="36" spans="1:2" ht="12.75">
      <c r="A36" s="156" t="str">
        <f>'NORTH FORK'!A24</f>
        <v>SW CBCU - Irrigation - Small Pumps</v>
      </c>
      <c r="B36" s="156">
        <f>+B19*PumperCUPercent</f>
        <v>204.75</v>
      </c>
    </row>
    <row r="37" spans="1:2" ht="12.75">
      <c r="A37" s="156" t="str">
        <f>'NORTH FORK'!A25</f>
        <v>SW CBCU - M&amp;I</v>
      </c>
      <c r="B37" s="156">
        <f>+B20*MI_CUPercent</f>
        <v>274</v>
      </c>
    </row>
    <row r="38" spans="1:2" ht="12.75">
      <c r="A38" s="156" t="str">
        <f>A15</f>
        <v>Keith Sebelius Lake Evaporation</v>
      </c>
      <c r="B38" s="175">
        <f>+B15</f>
        <v>2823</v>
      </c>
    </row>
    <row r="39" spans="1:2" ht="12.75">
      <c r="A39" s="159" t="str">
        <f>'NORTH FORK'!A26</f>
        <v>Non-Federal Reservoir Evaporation</v>
      </c>
      <c r="B39" s="159">
        <f>B24</f>
        <v>0</v>
      </c>
    </row>
    <row r="40" spans="1:3" ht="12.75">
      <c r="A40" s="159" t="str">
        <f>'NORTH FORK'!A27</f>
        <v>SW CBCU</v>
      </c>
      <c r="B40" s="175">
        <f>B34+B35+B36+B37+B38+B39</f>
        <v>4923.67</v>
      </c>
      <c r="C40" s="77"/>
    </row>
    <row r="41" spans="1:2" ht="12.75">
      <c r="A41" s="159" t="str">
        <f>'NORTH FORK'!A28</f>
        <v>GW CBCU</v>
      </c>
      <c r="B41" s="158">
        <f>+B7</f>
        <v>1679</v>
      </c>
    </row>
    <row r="42" spans="1:2" ht="12.75">
      <c r="A42" s="159" t="str">
        <f>'NORTH FORK'!A29</f>
        <v>Total CBCU</v>
      </c>
      <c r="B42" s="158">
        <f>(ROUND(SUM(B40:B41),-1))</f>
        <v>6600</v>
      </c>
    </row>
    <row r="43" spans="1:2" ht="12.75">
      <c r="A43" s="156" t="s">
        <v>84</v>
      </c>
      <c r="B43" s="156"/>
    </row>
    <row r="44" spans="1:2" ht="12.75">
      <c r="A44" s="155" t="s">
        <v>1</v>
      </c>
      <c r="B44" s="156"/>
    </row>
    <row r="45" spans="1:2" ht="12.75">
      <c r="A45" s="159" t="s">
        <v>241</v>
      </c>
      <c r="B45" s="156">
        <f>B21*CanalCUPercent</f>
        <v>0</v>
      </c>
    </row>
    <row r="46" spans="1:2" ht="12.75">
      <c r="A46" s="159" t="s">
        <v>521</v>
      </c>
      <c r="B46" s="156">
        <f>B22*PumperCUPercent</f>
        <v>44.400000000000006</v>
      </c>
    </row>
    <row r="47" spans="1:2" ht="12.75">
      <c r="A47" s="159" t="s">
        <v>198</v>
      </c>
      <c r="B47" s="156">
        <f>B23*MI_CUPercent</f>
        <v>0</v>
      </c>
    </row>
    <row r="48" spans="1:2" ht="12.75">
      <c r="A48" s="159" t="str">
        <f>'NORTH FORK'!A26</f>
        <v>Non-Federal Reservoir Evaporation</v>
      </c>
      <c r="B48" s="159">
        <f>B25</f>
        <v>0</v>
      </c>
    </row>
    <row r="49" spans="1:2" ht="12.75">
      <c r="A49" s="159" t="str">
        <f>'NORTH FORK'!A27</f>
        <v>SW CBCU</v>
      </c>
      <c r="B49" s="175">
        <f>B45+B46+B47+B48</f>
        <v>44.400000000000006</v>
      </c>
    </row>
    <row r="50" spans="1:3" ht="12.75">
      <c r="A50" s="159" t="str">
        <f>'NORTH FORK'!A28</f>
        <v>GW CBCU</v>
      </c>
      <c r="B50" s="159">
        <f>+B8</f>
        <v>0</v>
      </c>
      <c r="C50" s="77"/>
    </row>
    <row r="51" spans="1:2" ht="12.75">
      <c r="A51" s="159" t="str">
        <f>'NORTH FORK'!A29</f>
        <v>Total CBCU</v>
      </c>
      <c r="B51" s="158">
        <f>(ROUND(SUM(B49:B50),-1))</f>
        <v>40</v>
      </c>
    </row>
    <row r="52" spans="1:2" ht="12.75">
      <c r="A52" s="159" t="s">
        <v>84</v>
      </c>
      <c r="B52" s="156"/>
    </row>
    <row r="53" spans="1:2" ht="12.75">
      <c r="A53" s="160" t="s">
        <v>427</v>
      </c>
      <c r="B53" s="156"/>
    </row>
    <row r="54" spans="1:3" ht="12.75">
      <c r="A54" s="156" t="s">
        <v>251</v>
      </c>
      <c r="B54" s="175">
        <f>B45+B46+B47+B48</f>
        <v>44.400000000000006</v>
      </c>
      <c r="C54" s="19"/>
    </row>
    <row r="55" spans="1:2" ht="12.75">
      <c r="A55" s="159" t="s">
        <v>225</v>
      </c>
      <c r="B55" s="158">
        <f>SUM(B54:B54)</f>
        <v>44.400000000000006</v>
      </c>
    </row>
    <row r="56" spans="1:2" ht="12.75">
      <c r="A56" s="159" t="s">
        <v>84</v>
      </c>
      <c r="B56" s="156"/>
    </row>
    <row r="57" spans="1:2" ht="12.75">
      <c r="A57" s="160" t="s">
        <v>185</v>
      </c>
      <c r="B57" s="156"/>
    </row>
    <row r="58" spans="1:2" ht="12.75">
      <c r="A58" s="159" t="str">
        <f>'NORTH FORK'!A42</f>
        <v>Total SW CBCU</v>
      </c>
      <c r="B58" s="158">
        <f>+B40+B49</f>
        <v>4968.07</v>
      </c>
    </row>
    <row r="59" spans="1:2" ht="12.75">
      <c r="A59" s="159" t="str">
        <f>'NORTH FORK'!A43</f>
        <v>Total GW CBCU</v>
      </c>
      <c r="B59" s="175">
        <f>+B30+B41+B50</f>
        <v>1679</v>
      </c>
    </row>
    <row r="60" spans="1:2" ht="12.75">
      <c r="A60" s="159" t="str">
        <f>'NORTH FORK'!A44</f>
        <v>Total Basin CBCU</v>
      </c>
      <c r="B60" s="158">
        <f>SUM(B58:B59)</f>
        <v>6647.07</v>
      </c>
    </row>
    <row r="61" spans="1:2" ht="12.75">
      <c r="A61" s="159" t="s">
        <v>84</v>
      </c>
      <c r="B61" s="156"/>
    </row>
    <row r="62" spans="1:2" ht="15.75">
      <c r="A62" s="161" t="s">
        <v>10</v>
      </c>
      <c r="B62" s="162"/>
    </row>
    <row r="63" spans="1:2" ht="12.75">
      <c r="A63" s="163" t="str">
        <f>A14</f>
        <v>Prairie Dog Creek Near Woodruff</v>
      </c>
      <c r="B63" s="163">
        <f>B14</f>
        <v>1087.4502400000001</v>
      </c>
    </row>
    <row r="64" spans="1:2" ht="12.75">
      <c r="A64" s="162" t="str">
        <f>'NORTH FORK'!A49</f>
        <v>Colorado CBCU</v>
      </c>
      <c r="B64" s="163">
        <f>+B31</f>
        <v>0</v>
      </c>
    </row>
    <row r="65" spans="1:2" ht="12.75">
      <c r="A65" s="162" t="str">
        <f>'NORTH FORK'!A50</f>
        <v>Kansas CBCU</v>
      </c>
      <c r="B65" s="176">
        <f>+B42</f>
        <v>6600</v>
      </c>
    </row>
    <row r="66" spans="1:3" ht="12.75">
      <c r="A66" s="162" t="str">
        <f>'NORTH FORK'!A51</f>
        <v>Nebraska CBCU</v>
      </c>
      <c r="B66" s="177">
        <f>B51</f>
        <v>40</v>
      </c>
      <c r="C66" s="19"/>
    </row>
    <row r="67" spans="1:3" ht="12.75">
      <c r="A67" s="162" t="s">
        <v>251</v>
      </c>
      <c r="B67" s="177">
        <f>B54</f>
        <v>44.400000000000006</v>
      </c>
      <c r="C67" s="19"/>
    </row>
    <row r="68" spans="1:3" ht="12.75">
      <c r="A68" s="162" t="str">
        <f>A16</f>
        <v>Keith Sebelius Lake Change In Storage</v>
      </c>
      <c r="B68" s="164">
        <f>+B16</f>
        <v>-4338</v>
      </c>
      <c r="C68" s="19"/>
    </row>
    <row r="69" spans="1:3" ht="12.75">
      <c r="A69" s="162" t="str">
        <f>'NORTH FORK'!A52</f>
        <v>Imported Water</v>
      </c>
      <c r="B69" s="164">
        <f>+B5</f>
        <v>0</v>
      </c>
      <c r="C69" s="180"/>
    </row>
    <row r="70" spans="1:3" ht="12.75">
      <c r="A70" s="162" t="str">
        <f>'NORTH FORK'!A53</f>
        <v>Virgin Water Supply</v>
      </c>
      <c r="B70" s="177">
        <f>ROUND(SUM(B63:B66)+B68-B69-B67,-1)</f>
        <v>3350</v>
      </c>
      <c r="C70" s="19"/>
    </row>
    <row r="71" spans="1:2" ht="12.75">
      <c r="A71" s="162" t="str">
        <f>'NORTH FORK'!A54</f>
        <v>Adjustment For Flood Flows</v>
      </c>
      <c r="B71" s="164">
        <f>B26</f>
        <v>0</v>
      </c>
    </row>
    <row r="72" spans="1:2" ht="12.75">
      <c r="A72" s="162" t="str">
        <f>'NORTH FORK'!A55</f>
        <v>Computed Water Supply</v>
      </c>
      <c r="B72" s="177">
        <f>ROUND(+B70-B71-B68,-1)</f>
        <v>7690</v>
      </c>
    </row>
    <row r="73" spans="1:2" ht="12.75">
      <c r="A73" s="164" t="s">
        <v>84</v>
      </c>
      <c r="B73" s="164"/>
    </row>
    <row r="74" spans="1:2" ht="15.75">
      <c r="A74" s="161" t="s">
        <v>12</v>
      </c>
      <c r="B74" s="178"/>
    </row>
    <row r="75" spans="1:2" ht="12.75">
      <c r="A75" s="156" t="str">
        <f>'NORTH FORK'!A58</f>
        <v>Colorado Percent Of Allocation</v>
      </c>
      <c r="B75" s="179">
        <f>'T2'!D14</f>
        <v>0</v>
      </c>
    </row>
    <row r="76" spans="1:2" ht="12.75">
      <c r="A76" s="156" t="str">
        <f>'NORTH FORK'!A59</f>
        <v>Colorado Allocation</v>
      </c>
      <c r="B76" s="175">
        <f>ROUND(+B72*B75,-1)</f>
        <v>0</v>
      </c>
    </row>
    <row r="77" spans="1:2" ht="12.75">
      <c r="A77" s="156" t="str">
        <f>'NORTH FORK'!A60</f>
        <v>Kansas Percent Of Allocation</v>
      </c>
      <c r="B77" s="179">
        <f>'T2'!F14</f>
        <v>0.457</v>
      </c>
    </row>
    <row r="78" spans="1:2" ht="12.75">
      <c r="A78" s="156" t="str">
        <f>'NORTH FORK'!A61</f>
        <v>Kansas Allocation</v>
      </c>
      <c r="B78" s="175">
        <f>ROUND(B72*B77,-1)</f>
        <v>3510</v>
      </c>
    </row>
    <row r="79" spans="1:2" ht="12.75">
      <c r="A79" s="156" t="str">
        <f>'NORTH FORK'!A62</f>
        <v>Nebraska Percent Of Allocation</v>
      </c>
      <c r="B79" s="179">
        <f>'T2'!H14</f>
        <v>0.076</v>
      </c>
    </row>
    <row r="80" spans="1:2" ht="12.75">
      <c r="A80" s="2" t="str">
        <f>'NORTH FORK'!A63</f>
        <v>Nebraska Allocation</v>
      </c>
      <c r="B80" s="32">
        <f>ROUND(B72*B79,-1)</f>
        <v>580</v>
      </c>
    </row>
    <row r="81" spans="1:2" ht="12.75">
      <c r="A81" s="2" t="str">
        <f>'NORTH FORK'!A64</f>
        <v>Total Basin Allocation</v>
      </c>
      <c r="B81" s="32">
        <f>+B76+B78+B80</f>
        <v>4090</v>
      </c>
    </row>
    <row r="82" spans="1:2" ht="12.75">
      <c r="A82" s="2" t="str">
        <f>'NORTH FORK'!A65</f>
        <v>Percent Of Supply Not Allocated</v>
      </c>
      <c r="B82" s="79">
        <f>'T2'!J14</f>
        <v>0.467</v>
      </c>
    </row>
    <row r="83" spans="1:2" ht="12.75">
      <c r="A83" s="2" t="str">
        <f>'NORTH FORK'!A66</f>
        <v>Quantity Of Unallocated Supply</v>
      </c>
      <c r="B83" s="32">
        <f>+B72-B76-B78-B80</f>
        <v>3600</v>
      </c>
    </row>
  </sheetData>
  <sheetProtection/>
  <printOptions headings="1"/>
  <pageMargins left="0.75" right="0.75" top="0.75" bottom="0.5" header="0.25" footer="0.5"/>
  <pageSetup fitToHeight="2" horizontalDpi="600" verticalDpi="600" orientation="portrait" paperSize="3" scale="96" r:id="rId1"/>
  <headerFooter alignWithMargins="0">
    <oddHeader>&amp;LRRCA
Compact Accounting&amp;C&amp;A SUB-BASIN&amp;RPage &amp;P of &amp;N</oddHeader>
  </headerFooter>
  <rowBreaks count="1" manualBreakCount="1">
    <brk id="51" max="2" man="1"/>
  </rowBreaks>
</worksheet>
</file>

<file path=xl/worksheets/sheet15.xml><?xml version="1.0" encoding="utf-8"?>
<worksheet xmlns="http://schemas.openxmlformats.org/spreadsheetml/2006/main" xmlns:r="http://schemas.openxmlformats.org/officeDocument/2006/relationships">
  <sheetPr codeName="Sheet15">
    <pageSetUpPr fitToPage="1"/>
  </sheetPr>
  <dimension ref="A1:C199"/>
  <sheetViews>
    <sheetView zoomScalePageLayoutView="0" workbookViewId="0" topLeftCell="A1">
      <selection activeCell="C25" sqref="C25"/>
    </sheetView>
  </sheetViews>
  <sheetFormatPr defaultColWidth="9.140625" defaultRowHeight="12.75"/>
  <cols>
    <col min="1" max="1" width="86.00390625" style="0" customWidth="1"/>
    <col min="2" max="2" width="7.57421875" style="53" customWidth="1"/>
    <col min="3" max="3" width="17.00390625" style="0" customWidth="1"/>
  </cols>
  <sheetData>
    <row r="1" spans="1:2" ht="15.75">
      <c r="A1" s="62" t="s">
        <v>201</v>
      </c>
      <c r="B1" s="216">
        <f>INPUT!C1</f>
        <v>2003</v>
      </c>
    </row>
    <row r="2" ht="12.75"/>
    <row r="3" ht="15.75">
      <c r="A3" s="10" t="s">
        <v>180</v>
      </c>
    </row>
    <row r="4" ht="12.75">
      <c r="A4" s="8" t="s">
        <v>181</v>
      </c>
    </row>
    <row r="5" spans="1:2" ht="12.75">
      <c r="A5" s="61" t="str">
        <f>+INPUT!B58</f>
        <v>Imported Water Nebraska Above Guide Rock</v>
      </c>
      <c r="B5" s="61">
        <f>+INPUT!C58</f>
        <v>337</v>
      </c>
    </row>
    <row r="6" spans="1:2" ht="12.75">
      <c r="A6" s="61" t="str">
        <f>+INPUT!B40</f>
        <v>GW CBCU Colorado</v>
      </c>
      <c r="B6" s="61">
        <f>+INPUT!C40</f>
        <v>132</v>
      </c>
    </row>
    <row r="7" spans="1:2" ht="12.75">
      <c r="A7" s="61" t="str">
        <f>+INPUT!B41</f>
        <v>GW CBCU Kansas</v>
      </c>
      <c r="B7" s="61">
        <f>+INPUT!C41</f>
        <v>110</v>
      </c>
    </row>
    <row r="8" spans="1:2" ht="12.75">
      <c r="A8" s="61" t="str">
        <f>+INPUT!B42</f>
        <v>GW CBCU Nebraska Above Guide Rock</v>
      </c>
      <c r="B8" s="61">
        <f>+INPUT!C42</f>
        <v>74323</v>
      </c>
    </row>
    <row r="9" spans="1:2" ht="12.75">
      <c r="A9" s="61" t="str">
        <f>+INPUT!B43</f>
        <v>GW CBCU Nebraska Below Guide Rock</v>
      </c>
      <c r="B9" s="61">
        <f>+INPUT!C43</f>
        <v>2559</v>
      </c>
    </row>
    <row r="10" spans="1:2" ht="12" customHeight="1">
      <c r="A10" s="55" t="s">
        <v>221</v>
      </c>
      <c r="B10" s="61">
        <f>+B8+B9</f>
        <v>76882</v>
      </c>
    </row>
    <row r="11" spans="1:2" ht="12" customHeight="1">
      <c r="A11" s="9"/>
      <c r="B11" s="32"/>
    </row>
    <row r="12" spans="1:2" ht="12" customHeight="1">
      <c r="A12" s="5" t="s">
        <v>216</v>
      </c>
      <c r="B12" s="32"/>
    </row>
    <row r="13" spans="1:2" ht="12" customHeight="1">
      <c r="A13" s="60" t="str">
        <f>+INPUT!B243</f>
        <v>Meeker-Driftwood Canal % Return Flow</v>
      </c>
      <c r="B13" s="60">
        <f>+INPUT!C243</f>
        <v>1</v>
      </c>
    </row>
    <row r="14" spans="1:2" ht="12" customHeight="1">
      <c r="A14" s="55" t="str">
        <f>+INPUT!B240</f>
        <v>Culbertson Canal % Return Flow</v>
      </c>
      <c r="B14" s="209">
        <f>+INPUT!C240</f>
        <v>0.56</v>
      </c>
    </row>
    <row r="15" spans="1:2" ht="12" customHeight="1">
      <c r="A15" s="55" t="str">
        <f>+INPUT!B241</f>
        <v>Culbertson Canal Extension % Return Flow</v>
      </c>
      <c r="B15" s="209">
        <f>+INPUT!C241</f>
        <v>1</v>
      </c>
    </row>
    <row r="16" spans="1:2" ht="12" customHeight="1">
      <c r="A16" s="60" t="str">
        <f>+INPUT!B245</f>
        <v>Red Willow Canal % Return Flow</v>
      </c>
      <c r="B16" s="60">
        <f>+INPUT!C245</f>
        <v>1</v>
      </c>
    </row>
    <row r="17" spans="1:2" ht="12" customHeight="1">
      <c r="A17" s="60" t="str">
        <f>+INPUT!B249</f>
        <v>Bartley Canal % Return Flow</v>
      </c>
      <c r="B17" s="60">
        <f>+INPUT!C249</f>
        <v>1</v>
      </c>
    </row>
    <row r="18" spans="1:2" ht="12" customHeight="1">
      <c r="A18" s="60" t="str">
        <f>+INPUT!B251</f>
        <v>Cambridge Canal % Return Flow</v>
      </c>
      <c r="B18" s="60">
        <f>+INPUT!C251</f>
        <v>0.51</v>
      </c>
    </row>
    <row r="19" spans="1:2" ht="12" customHeight="1">
      <c r="A19" s="185" t="str">
        <f>+INPUT!B253</f>
        <v>Naponee Canal % Return Flow</v>
      </c>
      <c r="B19" s="185">
        <f>+INPUT!C253</f>
        <v>0.53</v>
      </c>
    </row>
    <row r="20" spans="1:2" ht="12" customHeight="1">
      <c r="A20" s="185" t="str">
        <f>+INPUT!B255</f>
        <v>Franklin Canal % Return Flow</v>
      </c>
      <c r="B20" s="185">
        <f>+INPUT!C255</f>
        <v>0.64</v>
      </c>
    </row>
    <row r="21" spans="1:2" ht="12" customHeight="1">
      <c r="A21" s="185" t="str">
        <f>+INPUT!B257</f>
        <v>Franklin Pump Canal % Return Flow</v>
      </c>
      <c r="B21" s="185">
        <f>+INPUT!C257</f>
        <v>0.57</v>
      </c>
    </row>
    <row r="22" spans="1:2" ht="12" customHeight="1">
      <c r="A22" s="185" t="str">
        <f>+INPUT!B259</f>
        <v>Superior Canal % Return Flow</v>
      </c>
      <c r="B22" s="185">
        <f>+INPUT!C259</f>
        <v>0.57</v>
      </c>
    </row>
    <row r="23" spans="1:2" ht="12" customHeight="1">
      <c r="A23" s="185" t="str">
        <f>INPUT!B263</f>
        <v>Nebraska Courtland % Return Flow</v>
      </c>
      <c r="B23" s="185">
        <f>INPUT!C263</f>
        <v>0.3259126335637964</v>
      </c>
    </row>
    <row r="24" spans="1:2" ht="12" customHeight="1">
      <c r="A24" s="185" t="str">
        <f>+INPUT!B268</f>
        <v>Courtland Canal Above Lovewell %  Return Flow</v>
      </c>
      <c r="B24" s="185">
        <f>+INPUT!C268</f>
        <v>0.5180198161155845</v>
      </c>
    </row>
    <row r="25" spans="1:2" ht="12" customHeight="1">
      <c r="A25" s="185" t="str">
        <f>+INPUT!B272</f>
        <v>Courtland Canal Below Lovewell % Return Flow</v>
      </c>
      <c r="B25" s="185">
        <f>+INPUT!C272</f>
        <v>0.4566515194068415</v>
      </c>
    </row>
    <row r="26" spans="1:2" ht="12.75">
      <c r="A26" s="147"/>
      <c r="B26" s="154"/>
    </row>
    <row r="27" spans="1:2" ht="12.75">
      <c r="A27" s="160" t="s">
        <v>183</v>
      </c>
      <c r="B27" s="158"/>
    </row>
    <row r="28" spans="1:2" ht="12.75">
      <c r="A28" s="156" t="s">
        <v>202</v>
      </c>
      <c r="B28" s="158"/>
    </row>
    <row r="29" spans="1:2" ht="12.75">
      <c r="A29" s="186" t="str">
        <f>+INPUT!B196</f>
        <v>Republican River Near Hardy</v>
      </c>
      <c r="B29" s="186">
        <f>+INPUT!C196</f>
        <v>52394</v>
      </c>
    </row>
    <row r="30" spans="1:2" ht="12.75">
      <c r="A30" s="186" t="str">
        <f>+INPUT!B183</f>
        <v>North Fork Republican River At Colorado-Nebraska State Line</v>
      </c>
      <c r="B30" s="186">
        <f>+INPUT!C183</f>
        <v>17700</v>
      </c>
    </row>
    <row r="31" spans="1:2" ht="12.75">
      <c r="A31" s="186" t="str">
        <f>+INPUT!B184</f>
        <v>Arikaree River At Haigler</v>
      </c>
      <c r="B31" s="186">
        <f>+INPUT!C184</f>
        <v>1060</v>
      </c>
    </row>
    <row r="32" spans="1:2" ht="12.75">
      <c r="A32" s="186" t="str">
        <f>+INPUT!B185</f>
        <v>Buffalo Creek Near Haigler</v>
      </c>
      <c r="B32" s="186">
        <f>+INPUT!C185</f>
        <v>2090</v>
      </c>
    </row>
    <row r="33" spans="1:2" ht="12.75">
      <c r="A33" s="186" t="str">
        <f>+INPUT!B186</f>
        <v>Rock Creek At Parks</v>
      </c>
      <c r="B33" s="186">
        <f>+INPUT!C186</f>
        <v>4710</v>
      </c>
    </row>
    <row r="34" spans="1:2" ht="12.75">
      <c r="A34" s="186" t="str">
        <f>+INPUT!B187</f>
        <v>South Fork Republican River Near Benkelman</v>
      </c>
      <c r="B34" s="186">
        <f>+INPUT!C187</f>
        <v>905.35872</v>
      </c>
    </row>
    <row r="35" spans="1:2" ht="12.75">
      <c r="A35" s="186" t="str">
        <f>+INPUT!B188</f>
        <v>Frenchman Creek At Culbertson</v>
      </c>
      <c r="B35" s="186">
        <f>+INPUT!C188</f>
        <v>13360</v>
      </c>
    </row>
    <row r="36" spans="1:2" ht="12.75">
      <c r="A36" s="186" t="str">
        <f>+INPUT!B189</f>
        <v>Driftwood Creek Near McCook</v>
      </c>
      <c r="B36" s="186">
        <f>+INPUT!C189</f>
        <v>1100</v>
      </c>
    </row>
    <row r="37" spans="1:2" ht="12.75">
      <c r="A37" s="186" t="str">
        <f>+INPUT!B190</f>
        <v>Red Willow Creek Near Red Willow</v>
      </c>
      <c r="B37" s="186">
        <f>+INPUT!C190</f>
        <v>3970</v>
      </c>
    </row>
    <row r="38" spans="1:2" ht="12.75">
      <c r="A38" s="186" t="str">
        <f>+INPUT!B191</f>
        <v>Medicine Creek Below Harry Strunk</v>
      </c>
      <c r="B38" s="186">
        <f>+INPUT!C191</f>
        <v>19850</v>
      </c>
    </row>
    <row r="39" spans="1:2" ht="12.75">
      <c r="A39" s="186" t="str">
        <f>+INPUT!B193</f>
        <v>Sappa Creek Near Stamford</v>
      </c>
      <c r="B39" s="186">
        <f>+INPUT!C193</f>
        <v>179.11552</v>
      </c>
    </row>
    <row r="40" spans="1:2" ht="12.75">
      <c r="A40" s="186" t="str">
        <f>+INPUT!B194</f>
        <v>Prairie Dog Creek Near Woodruff</v>
      </c>
      <c r="B40" s="186">
        <f>+INPUT!C194</f>
        <v>1087.4502400000001</v>
      </c>
    </row>
    <row r="41" spans="1:2" ht="12.75">
      <c r="A41" s="186" t="str">
        <f>+INPUT!B197</f>
        <v>White Rock Creek Above Lovewell</v>
      </c>
      <c r="B41" s="186">
        <f>+INPUT!C197</f>
        <v>20959</v>
      </c>
    </row>
    <row r="42" spans="1:2" ht="12.75">
      <c r="A42" s="187" t="s">
        <v>129</v>
      </c>
      <c r="B42" s="158"/>
    </row>
    <row r="43" spans="1:2" ht="12.75">
      <c r="A43" s="186" t="str">
        <f>+INPUT!B225</f>
        <v>Swanson Lake Evaporation</v>
      </c>
      <c r="B43" s="186">
        <f>+INPUT!C225</f>
        <v>6086</v>
      </c>
    </row>
    <row r="44" spans="1:2" ht="12.75">
      <c r="A44" s="186" t="str">
        <f>+INPUT!B226</f>
        <v>Swanson Lake Change In Storage</v>
      </c>
      <c r="B44" s="186">
        <f>+INPUT!C226</f>
        <v>4735</v>
      </c>
    </row>
    <row r="45" spans="1:2" ht="12.75">
      <c r="A45" s="186" t="str">
        <f>+INPUT!B219</f>
        <v>Hugh Butler Lake Evaporation</v>
      </c>
      <c r="B45" s="186">
        <f>+INPUT!C219</f>
        <v>2377</v>
      </c>
    </row>
    <row r="46" spans="1:2" ht="12.75">
      <c r="A46" s="186" t="str">
        <f>+INPUT!B221</f>
        <v>Harry Strunk Lake Evaporation</v>
      </c>
      <c r="B46" s="186">
        <f>+INPUT!C221</f>
        <v>3755</v>
      </c>
    </row>
    <row r="47" spans="1:2" ht="12.75">
      <c r="A47" s="186" t="str">
        <f>+INPUT!B227</f>
        <v>Harlan County Evaporation</v>
      </c>
      <c r="B47" s="186">
        <f>+INPUT!C227</f>
        <v>23664</v>
      </c>
    </row>
    <row r="48" spans="1:2" ht="12.75">
      <c r="A48" s="186" t="str">
        <f>+INPUT!B228</f>
        <v>Harlan County Change In Storage</v>
      </c>
      <c r="B48" s="186">
        <f>+INPUT!C228</f>
        <v>-47110</v>
      </c>
    </row>
    <row r="49" spans="1:2" ht="12.75">
      <c r="A49" s="186" t="str">
        <f>+INPUT!B229</f>
        <v>Lovewell Reservoir Ev charged to the Republican River </v>
      </c>
      <c r="B49" s="186">
        <f>+INPUT!C229</f>
        <v>670</v>
      </c>
    </row>
    <row r="50" spans="1:2" ht="12.75">
      <c r="A50" s="187" t="s">
        <v>203</v>
      </c>
      <c r="B50" s="158"/>
    </row>
    <row r="51" spans="1:2" ht="12.75">
      <c r="A51" s="186" t="str">
        <f>+INPUT!B248</f>
        <v>Bartley Canal Diversion</v>
      </c>
      <c r="B51" s="186">
        <f>+INPUT!C248</f>
        <v>0</v>
      </c>
    </row>
    <row r="52" spans="1:2" ht="12.75">
      <c r="A52" s="186" t="str">
        <f>+INPUT!B250</f>
        <v>Cambridge Canal Diversion</v>
      </c>
      <c r="B52" s="186">
        <f>+INPUT!C250</f>
        <v>18332</v>
      </c>
    </row>
    <row r="53" spans="1:2" ht="12.75">
      <c r="A53" s="186" t="str">
        <f>+INPUT!B252</f>
        <v>Naponee Canal Diversion</v>
      </c>
      <c r="B53" s="186">
        <f>+INPUT!C252</f>
        <v>2162</v>
      </c>
    </row>
    <row r="54" spans="1:2" ht="12.75">
      <c r="A54" s="186" t="str">
        <f>+INPUT!B254</f>
        <v>Franklin Canal Diversion</v>
      </c>
      <c r="B54" s="186">
        <f>+INPUT!C254</f>
        <v>15262</v>
      </c>
    </row>
    <row r="55" spans="1:2" ht="12.75">
      <c r="A55" s="186" t="str">
        <f>+INPUT!B256</f>
        <v>Franklin Pump Canal Diversions</v>
      </c>
      <c r="B55" s="186">
        <f>+INPUT!C256</f>
        <v>1687</v>
      </c>
    </row>
    <row r="56" spans="1:2" ht="12.75">
      <c r="A56" s="186" t="str">
        <f>+INPUT!B258</f>
        <v>Superior Canal Diversions</v>
      </c>
      <c r="B56" s="186">
        <f>+INPUT!C258</f>
        <v>8174</v>
      </c>
    </row>
    <row r="57" spans="1:2" ht="12.75">
      <c r="A57" s="187"/>
      <c r="B57" s="158"/>
    </row>
    <row r="58" spans="1:2" ht="12.75">
      <c r="A58" s="186" t="str">
        <f>+INPUT!B261</f>
        <v>Courtland Canal Diversions At Headgate</v>
      </c>
      <c r="B58" s="186">
        <f>+INPUT!C261</f>
        <v>66500</v>
      </c>
    </row>
    <row r="59" spans="1:2" ht="12.75">
      <c r="A59" s="186" t="str">
        <f>+INPUT!B262</f>
        <v>Diversions to Nebraska Courtland</v>
      </c>
      <c r="B59" s="186">
        <f>+INPUT!C262</f>
        <v>1591</v>
      </c>
    </row>
    <row r="60" spans="1:3" ht="12.75">
      <c r="A60" s="186" t="str">
        <f>INPUT!B264</f>
        <v>Courtland Canal, Loss in NE assigned to upper Courtland KS</v>
      </c>
      <c r="B60" s="186">
        <f>INPUT!C264</f>
        <v>2841</v>
      </c>
      <c r="C60" t="s">
        <v>540</v>
      </c>
    </row>
    <row r="61" spans="1:2" ht="12.75">
      <c r="A61" s="186" t="str">
        <f>INPUT!B265</f>
        <v>Courtland Canal, Loss in NE assigned to delivery to Lovewell </v>
      </c>
      <c r="B61" s="186">
        <f>INPUT!C265</f>
        <v>10116</v>
      </c>
    </row>
    <row r="62" spans="1:3" ht="12.75">
      <c r="A62" s="186" t="str">
        <f>+INPUT!B266</f>
        <v>Courtland Canal At Kansas-Nebraska State Line</v>
      </c>
      <c r="B62" s="186">
        <f>+INPUT!C266</f>
        <v>51952</v>
      </c>
      <c r="C62" s="19"/>
    </row>
    <row r="63" spans="1:3" ht="12.75">
      <c r="A63" s="186" t="str">
        <f>+INPUT!B267</f>
        <v>Courtland Canal Diversions to the Upper Courtland District</v>
      </c>
      <c r="B63" s="186">
        <f>+INPUT!C267</f>
        <v>17511</v>
      </c>
      <c r="C63" s="19"/>
    </row>
    <row r="64" spans="1:3" ht="12.75">
      <c r="A64" s="186" t="str">
        <f>+INPUT!B269</f>
        <v>Courtland Canal, Loss assigned to deliveries of water to Lovewell, Stateline to Lovewell</v>
      </c>
      <c r="B64" s="186">
        <f>+INPUT!C269</f>
        <v>10687</v>
      </c>
      <c r="C64" s="19"/>
    </row>
    <row r="65" spans="1:3" ht="12.75">
      <c r="A65" s="186" t="str">
        <f>+INPUT!B270</f>
        <v>Courtland Canal Deliveries To Lovewell Reservoir</v>
      </c>
      <c r="B65" s="186">
        <f>+INPUT!C270</f>
        <v>26596</v>
      </c>
      <c r="C65" s="19"/>
    </row>
    <row r="66" spans="1:2" ht="12.75">
      <c r="A66" s="186" t="str">
        <f>+INPUT!B271</f>
        <v>Diversions of Republican River water from Lovewell Reservoir to the Courtland Canal below Lovewell</v>
      </c>
      <c r="B66" s="186">
        <f>+INPUT!C271</f>
        <v>21270</v>
      </c>
    </row>
    <row r="67" spans="1:2" ht="12.75">
      <c r="A67" s="210"/>
      <c r="B67" s="211"/>
    </row>
    <row r="68" spans="1:3" ht="12.75">
      <c r="A68" s="186" t="str">
        <f>+INPUT!B275</f>
        <v>Kansas Bostwick Diversions During Irrigation Season</v>
      </c>
      <c r="B68" s="186">
        <f>+INPUT!C275</f>
        <v>27100</v>
      </c>
      <c r="C68" s="19"/>
    </row>
    <row r="69" spans="1:3" ht="12.75">
      <c r="A69" s="188" t="s">
        <v>170</v>
      </c>
      <c r="B69" s="186">
        <f>INPUT!C276</f>
        <v>28844</v>
      </c>
      <c r="C69" s="19"/>
    </row>
    <row r="70" spans="1:2" ht="12.75">
      <c r="A70" s="186"/>
      <c r="B70" s="186"/>
    </row>
    <row r="71" spans="1:2" ht="12.75">
      <c r="A71" s="186" t="str">
        <f>+INPUT!B242</f>
        <v>Meeker-Driftwood Canal Diversions</v>
      </c>
      <c r="B71" s="186">
        <f>+INPUT!C242</f>
        <v>0</v>
      </c>
    </row>
    <row r="72" spans="1:2" ht="12.75">
      <c r="A72" s="186" t="str">
        <f>+INPUT!B244</f>
        <v>Red Willow Canal Diversions</v>
      </c>
      <c r="B72" s="186">
        <f>+INPUT!C244</f>
        <v>0</v>
      </c>
    </row>
    <row r="73" spans="1:2" ht="12.75">
      <c r="A73" s="186" t="str">
        <f>+INPUT!B238</f>
        <v>Culbertson Canal Diversions</v>
      </c>
      <c r="B73" s="186">
        <f>+INPUT!C238</f>
        <v>8002</v>
      </c>
    </row>
    <row r="74" spans="1:2" ht="12.75">
      <c r="A74" s="186" t="str">
        <f>+INPUT!B239</f>
        <v>Culbertson Canal Extension Diversions</v>
      </c>
      <c r="B74" s="186">
        <f>+INPUT!C239</f>
        <v>0</v>
      </c>
    </row>
    <row r="75" spans="1:2" ht="12.75">
      <c r="A75" s="186" t="str">
        <f>+INPUT!B233</f>
        <v>Haigler Canal Diversions - Nebraska</v>
      </c>
      <c r="B75" s="186">
        <f>+INPUT!C233</f>
        <v>4965</v>
      </c>
    </row>
    <row r="76" spans="1:2" ht="12.75">
      <c r="A76" s="187" t="s">
        <v>204</v>
      </c>
      <c r="B76" s="158"/>
    </row>
    <row r="77" spans="1:2" ht="12.75">
      <c r="A77" s="186" t="str">
        <f>+INPUT!B137</f>
        <v>SW Diversions - Irrigation - Non-Federal Canals- Kansas</v>
      </c>
      <c r="B77" s="186">
        <f>+INPUT!C137</f>
        <v>0</v>
      </c>
    </row>
    <row r="78" spans="1:2" ht="12.75">
      <c r="A78" s="186" t="str">
        <f>+INPUT!B138</f>
        <v>SW Diversions - Irrigation - Small Pumps - Kansas</v>
      </c>
      <c r="B78" s="186">
        <f>+INPUT!C138</f>
        <v>1064</v>
      </c>
    </row>
    <row r="79" spans="1:2" ht="12.75">
      <c r="A79" s="186" t="str">
        <f>+INPUT!B139</f>
        <v>SW Diversions - M&amp;I - Kansas</v>
      </c>
      <c r="B79" s="186">
        <f>+INPUT!C139</f>
        <v>0</v>
      </c>
    </row>
    <row r="80" spans="1:2" ht="12.75">
      <c r="A80" s="186" t="str">
        <f>+INPUT!B179</f>
        <v>Non-Federal Reservoir Evaporation - Kansas</v>
      </c>
      <c r="B80" s="186">
        <f>+INPUT!C179</f>
        <v>0</v>
      </c>
    </row>
    <row r="81" spans="1:2" ht="12.75">
      <c r="A81" s="187" t="s">
        <v>205</v>
      </c>
      <c r="B81" s="158"/>
    </row>
    <row r="82" spans="1:2" ht="12.75">
      <c r="A82" s="186" t="str">
        <f>+INPUT!B140&amp;" "&amp;"-"&amp;" "&amp;(LEFT(INPUT!A137,8))</f>
        <v>SW Diversions - Irrigation - Non-Federal Canals - Nebraska - Mainstem</v>
      </c>
      <c r="B82" s="186">
        <f>+INPUT!C140</f>
        <v>3719</v>
      </c>
    </row>
    <row r="83" spans="1:2" ht="12.75">
      <c r="A83" s="186" t="str">
        <f>+INPUT!B141&amp;" "&amp;"-"&amp;" "&amp;(LEFT(INPUT!$A$137,8))</f>
        <v>SW Diversions - Irrigation - Small Pumps - Nebraska - Mainstem</v>
      </c>
      <c r="B83" s="186">
        <f>+INPUT!C141</f>
        <v>1401</v>
      </c>
    </row>
    <row r="84" spans="1:2" ht="12.75">
      <c r="A84" s="186" t="str">
        <f>+INPUT!B142&amp;" "&amp;"-"&amp;" "&amp;(LEFT(INPUT!$A$137,8))</f>
        <v>SW Diversions - M&amp;I - Nebraska - Mainstem</v>
      </c>
      <c r="B84" s="186">
        <f>+INPUT!C142</f>
        <v>0</v>
      </c>
    </row>
    <row r="85" spans="1:3" ht="12.75">
      <c r="A85" s="186" t="str">
        <f>+INPUT!B180</f>
        <v>Non-Federal Reservoir Evaporation - Nebraska - Below Gage</v>
      </c>
      <c r="B85" s="186">
        <f>+INPUT!C180</f>
        <v>0</v>
      </c>
      <c r="C85" s="94"/>
    </row>
    <row r="86" spans="1:3" ht="12.75">
      <c r="A86" s="186" t="str">
        <f>+INPUT!B212</f>
        <v>Mainstem Flood Flow</v>
      </c>
      <c r="B86" s="186">
        <f>+INPUT!C212</f>
        <v>0</v>
      </c>
      <c r="C86" s="94"/>
    </row>
    <row r="87" spans="1:3" ht="12.75">
      <c r="A87" s="189" t="s">
        <v>84</v>
      </c>
      <c r="B87" s="158"/>
      <c r="C87" s="94"/>
    </row>
    <row r="88" spans="1:3" ht="15.75">
      <c r="A88" s="174" t="s">
        <v>206</v>
      </c>
      <c r="B88" s="163"/>
      <c r="C88" s="94"/>
    </row>
    <row r="89" spans="1:3" ht="12.75">
      <c r="A89" s="190" t="s">
        <v>522</v>
      </c>
      <c r="B89" s="177">
        <f>+B62*0.015</f>
        <v>779.28</v>
      </c>
      <c r="C89" s="97"/>
    </row>
    <row r="90" spans="1:3" ht="12.75">
      <c r="A90" s="190" t="s">
        <v>541</v>
      </c>
      <c r="B90" s="177">
        <f>B60*0.18</f>
        <v>511.38</v>
      </c>
      <c r="C90" s="97"/>
    </row>
    <row r="91" spans="1:3" ht="12.75">
      <c r="A91" s="190" t="s">
        <v>542</v>
      </c>
      <c r="B91" s="177">
        <f>B61*0.18</f>
        <v>1820.8799999999999</v>
      </c>
      <c r="C91" s="97"/>
    </row>
    <row r="92" spans="1:3" ht="12.75">
      <c r="A92" s="190" t="s">
        <v>543</v>
      </c>
      <c r="B92" s="177">
        <f>B64*0.18</f>
        <v>1923.6599999999999</v>
      </c>
      <c r="C92" s="95"/>
    </row>
    <row r="93" spans="1:3" ht="12.75">
      <c r="A93" s="190" t="s">
        <v>207</v>
      </c>
      <c r="B93" s="177">
        <f>+B49*(B65/(B65+B41))</f>
        <v>374.7097045526233</v>
      </c>
      <c r="C93" s="95"/>
    </row>
    <row r="94" spans="1:3" ht="12.75">
      <c r="A94" s="190" t="s">
        <v>208</v>
      </c>
      <c r="B94" s="191">
        <f>+B68/(B68+B69)</f>
        <v>0.4844129844129844</v>
      </c>
      <c r="C94" s="95"/>
    </row>
    <row r="95" spans="1:3" ht="12.75">
      <c r="A95" s="192" t="s">
        <v>252</v>
      </c>
      <c r="B95" s="191">
        <f>1-B94</f>
        <v>0.5155870155870156</v>
      </c>
      <c r="C95" s="95"/>
    </row>
    <row r="96" spans="1:3" ht="12.75">
      <c r="A96" s="192" t="s">
        <v>523</v>
      </c>
      <c r="B96" s="193">
        <f>+B47*(B68/(B68+B69))</f>
        <v>11463.148863148863</v>
      </c>
      <c r="C96" s="97"/>
    </row>
    <row r="97" spans="1:3" ht="12.75">
      <c r="A97" s="192" t="s">
        <v>253</v>
      </c>
      <c r="B97" s="177">
        <f>+B47-B96</f>
        <v>12200.851136851137</v>
      </c>
      <c r="C97" s="97"/>
    </row>
    <row r="98" spans="1:3" ht="12.75">
      <c r="A98" s="194" t="s">
        <v>84</v>
      </c>
      <c r="B98" s="163"/>
      <c r="C98" s="94"/>
    </row>
    <row r="99" spans="1:3" ht="15.75">
      <c r="A99" s="174" t="s">
        <v>266</v>
      </c>
      <c r="B99" s="163"/>
      <c r="C99" s="94"/>
    </row>
    <row r="100" spans="1:3" ht="12.75">
      <c r="A100" s="155" t="s">
        <v>0</v>
      </c>
      <c r="B100" s="158"/>
      <c r="C100" s="94"/>
    </row>
    <row r="101" spans="1:3" ht="12.75">
      <c r="A101" s="157" t="s">
        <v>199</v>
      </c>
      <c r="B101" s="158">
        <f>+B6</f>
        <v>132</v>
      </c>
      <c r="C101" s="94"/>
    </row>
    <row r="102" spans="1:3" ht="12.75">
      <c r="A102" s="157" t="s">
        <v>200</v>
      </c>
      <c r="B102" s="158">
        <f>(ROUND(SUM(B101:B101),-1))</f>
        <v>130</v>
      </c>
      <c r="C102" s="94"/>
    </row>
    <row r="103" spans="1:3" ht="12.75">
      <c r="A103" s="156" t="s">
        <v>84</v>
      </c>
      <c r="B103" s="158"/>
      <c r="C103" s="94"/>
    </row>
    <row r="104" spans="1:3" ht="12.75">
      <c r="A104" s="195" t="s">
        <v>184</v>
      </c>
      <c r="B104" s="158"/>
      <c r="C104" s="94"/>
    </row>
    <row r="105" spans="1:3" ht="12.75">
      <c r="A105" s="158" t="str">
        <f>+A96</f>
        <v>Net Evaporation From Harlan County Reservoir Charged To Kansas</v>
      </c>
      <c r="B105" s="158">
        <f>+B96</f>
        <v>11463.148863148863</v>
      </c>
      <c r="C105" s="94"/>
    </row>
    <row r="106" spans="1:3" ht="12.75">
      <c r="A106" s="158" t="str">
        <f>+A91</f>
        <v>Courtland Canal Transportation Loss in NE assigned to deliveries to Lovewell that does not recharge</v>
      </c>
      <c r="B106" s="158">
        <f>+B91</f>
        <v>1820.8799999999999</v>
      </c>
      <c r="C106" s="94"/>
    </row>
    <row r="107" spans="1:3" ht="12.75">
      <c r="A107" s="159" t="s">
        <v>506</v>
      </c>
      <c r="B107" s="175">
        <f>(B63)*(1-B24)</f>
        <v>8439.955</v>
      </c>
      <c r="C107" s="94"/>
    </row>
    <row r="108" spans="1:3" ht="12.75">
      <c r="A108" s="158" t="str">
        <f>+A92</f>
        <v>Courtland Canal Transportation Loss from the Stateline to Lovewell that does not return</v>
      </c>
      <c r="B108" s="158">
        <f>+B92</f>
        <v>1923.6599999999999</v>
      </c>
      <c r="C108" s="94"/>
    </row>
    <row r="109" spans="1:3" ht="12.75">
      <c r="A109" s="187" t="s">
        <v>209</v>
      </c>
      <c r="B109" s="158">
        <f>B49</f>
        <v>670</v>
      </c>
      <c r="C109" s="94"/>
    </row>
    <row r="110" spans="1:3" ht="12.75">
      <c r="A110" s="159" t="s">
        <v>507</v>
      </c>
      <c r="B110" s="175">
        <f>B66*(1-B25)</f>
        <v>11557.022182216482</v>
      </c>
      <c r="C110" s="94"/>
    </row>
    <row r="111" spans="1:3" ht="12" customHeight="1">
      <c r="A111" s="187" t="str">
        <f>'NORTH FORK'!A23</f>
        <v>SW CBCU - Irrigation - Non Federal Canals</v>
      </c>
      <c r="B111" s="175">
        <f>+B77*CanalCUPercent</f>
        <v>0</v>
      </c>
      <c r="C111" s="95"/>
    </row>
    <row r="112" spans="1:3" ht="12.75">
      <c r="A112" s="187" t="str">
        <f>'NORTH FORK'!A24</f>
        <v>SW CBCU - Irrigation - Small Pumps</v>
      </c>
      <c r="B112" s="175">
        <f>+B78*PumperCUPercent</f>
        <v>798</v>
      </c>
      <c r="C112" s="95"/>
    </row>
    <row r="113" spans="1:3" ht="12.75">
      <c r="A113" s="187" t="str">
        <f>'NORTH FORK'!A25</f>
        <v>SW CBCU - M&amp;I</v>
      </c>
      <c r="B113" s="175">
        <f>+B79*MI_CUPercent</f>
        <v>0</v>
      </c>
      <c r="C113" s="95"/>
    </row>
    <row r="114" spans="1:3" ht="12.75">
      <c r="A114" s="197" t="str">
        <f>A80</f>
        <v>Non-Federal Reservoir Evaporation - Kansas</v>
      </c>
      <c r="B114" s="175">
        <f>B80</f>
        <v>0</v>
      </c>
      <c r="C114" s="95"/>
    </row>
    <row r="115" spans="1:3" ht="12.75">
      <c r="A115" s="158" t="str">
        <f>'NORTH FORK'!A27</f>
        <v>SW CBCU</v>
      </c>
      <c r="B115" s="175">
        <f>SUM(B105:B114)</f>
        <v>36672.666045365346</v>
      </c>
      <c r="C115" s="95"/>
    </row>
    <row r="116" spans="1:3" ht="12.75">
      <c r="A116" s="158" t="str">
        <f>'NORTH FORK'!A28</f>
        <v>GW CBCU</v>
      </c>
      <c r="B116" s="175">
        <f>+B7</f>
        <v>110</v>
      </c>
      <c r="C116" s="95"/>
    </row>
    <row r="117" spans="1:3" ht="12.75">
      <c r="A117" s="158" t="str">
        <f>'NORTH FORK'!A29</f>
        <v>Total CBCU</v>
      </c>
      <c r="B117" s="175">
        <f>(ROUND(SUM(B115:B116),-1))</f>
        <v>36780</v>
      </c>
      <c r="C117" s="95"/>
    </row>
    <row r="118" spans="1:3" ht="12.75">
      <c r="A118" s="156" t="s">
        <v>84</v>
      </c>
      <c r="B118" s="175"/>
      <c r="C118" s="95"/>
    </row>
    <row r="119" spans="1:3" ht="12.75">
      <c r="A119" s="155" t="s">
        <v>1</v>
      </c>
      <c r="B119" s="175"/>
      <c r="C119" s="95"/>
    </row>
    <row r="120" spans="1:3" ht="12.75">
      <c r="A120" s="198" t="s">
        <v>426</v>
      </c>
      <c r="B120" s="199">
        <f>B59*(1-B23)</f>
        <v>1072.473</v>
      </c>
      <c r="C120" s="95"/>
    </row>
    <row r="121" spans="1:3" ht="12.75">
      <c r="A121" s="198" t="s">
        <v>421</v>
      </c>
      <c r="B121" s="175">
        <f>+B56*(1-B22)</f>
        <v>3514.8200000000006</v>
      </c>
      <c r="C121" s="95"/>
    </row>
    <row r="122" spans="1:3" ht="12.75">
      <c r="A122" s="198" t="s">
        <v>422</v>
      </c>
      <c r="B122" s="199">
        <f>+B55*(1-B21)</f>
        <v>725.4100000000001</v>
      </c>
      <c r="C122" s="95"/>
    </row>
    <row r="123" spans="1:3" ht="12.75">
      <c r="A123" s="198" t="s">
        <v>423</v>
      </c>
      <c r="B123" s="199">
        <f>+B54*(1-B20)</f>
        <v>5494.32</v>
      </c>
      <c r="C123" s="95"/>
    </row>
    <row r="124" spans="1:3" ht="12.75">
      <c r="A124" s="198" t="s">
        <v>424</v>
      </c>
      <c r="B124" s="199">
        <f>+B53*(1-B19)</f>
        <v>1016.14</v>
      </c>
      <c r="C124" s="95"/>
    </row>
    <row r="125" spans="1:3" ht="12.75">
      <c r="A125" s="198" t="str">
        <f>+A52</f>
        <v>Cambridge Canal Diversion</v>
      </c>
      <c r="B125" s="199">
        <f>+B52*(1-B18)</f>
        <v>8982.68</v>
      </c>
      <c r="C125" s="95"/>
    </row>
    <row r="126" spans="1:3" ht="12.75">
      <c r="A126" s="198" t="str">
        <f>+A51</f>
        <v>Bartley Canal Diversion</v>
      </c>
      <c r="B126" s="199">
        <f>+B51*(1-B17)</f>
        <v>0</v>
      </c>
      <c r="C126" s="95"/>
    </row>
    <row r="127" spans="1:3" ht="12.75">
      <c r="A127" s="198" t="s">
        <v>425</v>
      </c>
      <c r="B127" s="199">
        <f>+B71*(1-B13)</f>
        <v>0</v>
      </c>
      <c r="C127" s="95"/>
    </row>
    <row r="128" spans="1:3" ht="12.75">
      <c r="A128" s="198" t="str">
        <f>A72&amp;" "&amp;"(90%)"</f>
        <v>Red Willow Canal Diversions (90%)</v>
      </c>
      <c r="B128" s="199">
        <f>+B72*0.9*(1-B16)</f>
        <v>0</v>
      </c>
      <c r="C128" s="95"/>
    </row>
    <row r="129" spans="1:3" ht="12.75">
      <c r="A129" s="187" t="str">
        <f>'NORTH FORK'!A23</f>
        <v>SW CBCU - Irrigation - Non Federal Canals</v>
      </c>
      <c r="B129" s="175">
        <f>B82*CanalCUPercent</f>
        <v>2231.4</v>
      </c>
      <c r="C129" s="95"/>
    </row>
    <row r="130" spans="1:3" ht="12.75">
      <c r="A130" s="187" t="str">
        <f>'NORTH FORK'!A24</f>
        <v>SW CBCU - Irrigation - Small Pumps</v>
      </c>
      <c r="B130" s="175">
        <f>B83*PumperCUPercent</f>
        <v>1050.75</v>
      </c>
      <c r="C130" s="95"/>
    </row>
    <row r="131" spans="1:3" ht="12.75">
      <c r="A131" s="187" t="str">
        <f>'NORTH FORK'!A25</f>
        <v>SW CBCU - M&amp;I</v>
      </c>
      <c r="B131" s="175">
        <f>B84*MI_CUPercent</f>
        <v>0</v>
      </c>
      <c r="C131" s="95"/>
    </row>
    <row r="132" spans="1:3" ht="12.75">
      <c r="A132" s="196" t="str">
        <f>A46</f>
        <v>Harry Strunk Lake Evaporation</v>
      </c>
      <c r="B132" s="175">
        <f>+B46</f>
        <v>3755</v>
      </c>
      <c r="C132" s="95"/>
    </row>
    <row r="133" spans="1:3" ht="12.75">
      <c r="A133" s="196" t="str">
        <f>A43</f>
        <v>Swanson Lake Evaporation</v>
      </c>
      <c r="B133" s="175">
        <f>+B43</f>
        <v>6086</v>
      </c>
      <c r="C133" s="95"/>
    </row>
    <row r="134" spans="1:3" ht="12.75">
      <c r="A134" s="157" t="str">
        <f>A45&amp;" "&amp;"(90%)"</f>
        <v>Hugh Butler Lake Evaporation (90%)</v>
      </c>
      <c r="B134" s="175">
        <f>+B45*0.9</f>
        <v>2139.3</v>
      </c>
      <c r="C134" s="95"/>
    </row>
    <row r="135" spans="1:3" ht="12.75">
      <c r="A135" s="187" t="s">
        <v>254</v>
      </c>
      <c r="B135" s="175">
        <f>+B97</f>
        <v>12200.851136851137</v>
      </c>
      <c r="C135" s="95"/>
    </row>
    <row r="136" spans="1:3" ht="12.75">
      <c r="A136" s="156" t="str">
        <f>'NORTH FORK'!A26</f>
        <v>Non-Federal Reservoir Evaporation</v>
      </c>
      <c r="B136" s="175">
        <f>B85</f>
        <v>0</v>
      </c>
      <c r="C136" s="95"/>
    </row>
    <row r="137" spans="1:3" ht="12.75">
      <c r="A137" s="156" t="str">
        <f>'NORTH FORK'!A27</f>
        <v>SW CBCU</v>
      </c>
      <c r="B137" s="175">
        <f>SUM(B120:B136)</f>
        <v>48269.144136851144</v>
      </c>
      <c r="C137" s="95"/>
    </row>
    <row r="138" spans="1:3" ht="12.75">
      <c r="A138" s="156" t="str">
        <f>'NORTH FORK'!A28</f>
        <v>GW CBCU</v>
      </c>
      <c r="B138" s="175">
        <f>+B10</f>
        <v>76882</v>
      </c>
      <c r="C138" s="95"/>
    </row>
    <row r="139" spans="1:3" ht="12.75">
      <c r="A139" s="156" t="str">
        <f>'NORTH FORK'!A29</f>
        <v>Total CBCU</v>
      </c>
      <c r="B139" s="175">
        <f>(ROUND(SUM(B137:B138),-1))</f>
        <v>125150</v>
      </c>
      <c r="C139" s="95"/>
    </row>
    <row r="140" spans="1:3" ht="12.75">
      <c r="A140" s="159" t="s">
        <v>84</v>
      </c>
      <c r="B140" s="175"/>
      <c r="C140" s="95"/>
    </row>
    <row r="141" spans="1:3" ht="12.75">
      <c r="A141" s="160" t="s">
        <v>185</v>
      </c>
      <c r="B141" s="175"/>
      <c r="C141" s="95"/>
    </row>
    <row r="142" spans="1:3" ht="12.75">
      <c r="A142" s="159" t="str">
        <f>'NORTH FORK'!A42</f>
        <v>Total SW CBCU</v>
      </c>
      <c r="B142" s="175">
        <f>+B115+B137</f>
        <v>84941.81018221649</v>
      </c>
      <c r="C142" s="95"/>
    </row>
    <row r="143" spans="1:3" ht="12.75">
      <c r="A143" s="159" t="str">
        <f>'NORTH FORK'!A43</f>
        <v>Total GW CBCU</v>
      </c>
      <c r="B143" s="175">
        <f>+B101+B116+B138</f>
        <v>77124</v>
      </c>
      <c r="C143" s="95"/>
    </row>
    <row r="144" spans="1:3" ht="12.75">
      <c r="A144" s="159" t="str">
        <f>'NORTH FORK'!A44</f>
        <v>Total Basin CBCU</v>
      </c>
      <c r="B144" s="175">
        <f>(ROUND(SUM(B142:B143),-1))</f>
        <v>162070</v>
      </c>
      <c r="C144" s="95"/>
    </row>
    <row r="145" spans="1:3" ht="12.75">
      <c r="A145" s="159" t="s">
        <v>84</v>
      </c>
      <c r="B145" s="175"/>
      <c r="C145" s="95"/>
    </row>
    <row r="146" spans="1:3" ht="15.75">
      <c r="A146" s="161" t="s">
        <v>10</v>
      </c>
      <c r="B146" s="177"/>
      <c r="C146" s="95"/>
    </row>
    <row r="147" spans="1:3" ht="12.75">
      <c r="A147" s="163" t="str">
        <f>A29</f>
        <v>Republican River Near Hardy</v>
      </c>
      <c r="B147" s="177">
        <f>B29</f>
        <v>52394</v>
      </c>
      <c r="C147" s="95"/>
    </row>
    <row r="148" spans="1:3" ht="12.75">
      <c r="A148" s="163" t="str">
        <f aca="true" t="shared" si="0" ref="A148:A158">A30</f>
        <v>North Fork Republican River At Colorado-Nebraska State Line</v>
      </c>
      <c r="B148" s="177">
        <f aca="true" t="shared" si="1" ref="B148:B156">B30</f>
        <v>17700</v>
      </c>
      <c r="C148" s="95"/>
    </row>
    <row r="149" spans="1:3" ht="12.75">
      <c r="A149" s="163" t="str">
        <f t="shared" si="0"/>
        <v>Arikaree River At Haigler</v>
      </c>
      <c r="B149" s="177">
        <f t="shared" si="1"/>
        <v>1060</v>
      </c>
      <c r="C149" s="95"/>
    </row>
    <row r="150" spans="1:3" ht="12.75">
      <c r="A150" s="163" t="str">
        <f t="shared" si="0"/>
        <v>Buffalo Creek Near Haigler</v>
      </c>
      <c r="B150" s="177">
        <f t="shared" si="1"/>
        <v>2090</v>
      </c>
      <c r="C150" s="95"/>
    </row>
    <row r="151" spans="1:3" ht="12.75">
      <c r="A151" s="163" t="str">
        <f t="shared" si="0"/>
        <v>Rock Creek At Parks</v>
      </c>
      <c r="B151" s="177">
        <f t="shared" si="1"/>
        <v>4710</v>
      </c>
      <c r="C151" s="95"/>
    </row>
    <row r="152" spans="1:3" ht="12.75">
      <c r="A152" s="163" t="str">
        <f t="shared" si="0"/>
        <v>South Fork Republican River Near Benkelman</v>
      </c>
      <c r="B152" s="177">
        <f t="shared" si="1"/>
        <v>905.35872</v>
      </c>
      <c r="C152" s="95"/>
    </row>
    <row r="153" spans="1:3" ht="12.75">
      <c r="A153" s="163" t="str">
        <f t="shared" si="0"/>
        <v>Frenchman Creek At Culbertson</v>
      </c>
      <c r="B153" s="177">
        <f t="shared" si="1"/>
        <v>13360</v>
      </c>
      <c r="C153" s="95"/>
    </row>
    <row r="154" spans="1:3" ht="12.75">
      <c r="A154" s="163" t="str">
        <f t="shared" si="0"/>
        <v>Driftwood Creek Near McCook</v>
      </c>
      <c r="B154" s="177">
        <f t="shared" si="1"/>
        <v>1100</v>
      </c>
      <c r="C154" s="95"/>
    </row>
    <row r="155" spans="1:3" ht="12.75">
      <c r="A155" s="163" t="str">
        <f t="shared" si="0"/>
        <v>Red Willow Creek Near Red Willow</v>
      </c>
      <c r="B155" s="177">
        <f t="shared" si="1"/>
        <v>3970</v>
      </c>
      <c r="C155" s="95"/>
    </row>
    <row r="156" spans="1:3" ht="12.75">
      <c r="A156" s="163" t="str">
        <f t="shared" si="0"/>
        <v>Medicine Creek Below Harry Strunk</v>
      </c>
      <c r="B156" s="177">
        <f t="shared" si="1"/>
        <v>19850</v>
      </c>
      <c r="C156" s="95"/>
    </row>
    <row r="157" spans="1:3" ht="12.75">
      <c r="A157" s="163" t="str">
        <f t="shared" si="0"/>
        <v>Sappa Creek Near Stamford</v>
      </c>
      <c r="B157" s="177">
        <f>B39</f>
        <v>179.11552</v>
      </c>
      <c r="C157" s="95"/>
    </row>
    <row r="158" spans="1:3" ht="12.75">
      <c r="A158" s="163" t="str">
        <f t="shared" si="0"/>
        <v>Prairie Dog Creek Near Woodruff</v>
      </c>
      <c r="B158" s="177">
        <f>B40</f>
        <v>1087.4502400000001</v>
      </c>
      <c r="C158" s="95"/>
    </row>
    <row r="159" spans="1:3" ht="12.75">
      <c r="A159" s="200"/>
      <c r="B159" s="201"/>
      <c r="C159" s="95"/>
    </row>
    <row r="160" spans="1:3" ht="12.75">
      <c r="A160" s="162" t="str">
        <f>'NORTH FORK'!A49</f>
        <v>Colorado CBCU</v>
      </c>
      <c r="B160" s="177">
        <f>+B102</f>
        <v>130</v>
      </c>
      <c r="C160" s="95"/>
    </row>
    <row r="161" spans="1:3" ht="12.75">
      <c r="A161" s="162" t="str">
        <f>'NORTH FORK'!A50&amp;" "&amp;"Above Stateline"</f>
        <v>Kansas CBCU Above Stateline</v>
      </c>
      <c r="B161" s="177">
        <f>B90+B91+B105+SUM(B111:B114)</f>
        <v>14593.408863148863</v>
      </c>
      <c r="C161" s="95"/>
    </row>
    <row r="162" spans="1:3" ht="12.75">
      <c r="A162" s="162" t="str">
        <f>'NORTH FORK'!A51</f>
        <v>Nebraska CBCU</v>
      </c>
      <c r="B162" s="177">
        <f>+B139</f>
        <v>125150</v>
      </c>
      <c r="C162" s="95"/>
    </row>
    <row r="163" spans="1:3" ht="12.75">
      <c r="A163" s="162"/>
      <c r="B163" s="177"/>
      <c r="C163" s="95"/>
    </row>
    <row r="164" spans="1:3" ht="12.75">
      <c r="A164" s="202" t="s">
        <v>222</v>
      </c>
      <c r="B164" s="177">
        <f>+B128</f>
        <v>0</v>
      </c>
      <c r="C164" s="95"/>
    </row>
    <row r="165" spans="1:3" ht="12.75">
      <c r="A165" s="202" t="s">
        <v>210</v>
      </c>
      <c r="B165" s="177">
        <f>+B134</f>
        <v>2139.3</v>
      </c>
      <c r="C165" s="95"/>
    </row>
    <row r="166" spans="1:3" ht="12.75">
      <c r="A166" s="202" t="s">
        <v>136</v>
      </c>
      <c r="B166" s="177">
        <f>+B132</f>
        <v>3755</v>
      </c>
      <c r="C166" s="95"/>
    </row>
    <row r="167" spans="1:3" ht="12.75">
      <c r="A167" s="162"/>
      <c r="B167" s="177"/>
      <c r="C167" s="95"/>
    </row>
    <row r="168" spans="1:3" ht="12.75">
      <c r="A168" s="177" t="s">
        <v>429</v>
      </c>
      <c r="B168" s="177">
        <f>'MEDICINE CREEK'!B52</f>
        <v>79.5</v>
      </c>
      <c r="C168" s="95"/>
    </row>
    <row r="169" spans="1:3" ht="12.75">
      <c r="A169" s="177" t="s">
        <v>430</v>
      </c>
      <c r="B169" s="177">
        <f>BEAVER!B63</f>
        <v>0</v>
      </c>
      <c r="C169" s="95"/>
    </row>
    <row r="170" spans="1:3" ht="12.75">
      <c r="A170" s="177" t="s">
        <v>432</v>
      </c>
      <c r="B170" s="177">
        <f>SAPPA!B56</f>
        <v>14.850000000000001</v>
      </c>
      <c r="C170" s="95"/>
    </row>
    <row r="171" spans="1:3" ht="12.75">
      <c r="A171" s="177" t="s">
        <v>431</v>
      </c>
      <c r="B171" s="177">
        <f>'PRAIRIE DOG'!B54</f>
        <v>44.400000000000006</v>
      </c>
      <c r="C171" s="95"/>
    </row>
    <row r="172" spans="1:3" ht="12.75">
      <c r="A172" s="162"/>
      <c r="B172" s="177"/>
      <c r="C172" s="95"/>
    </row>
    <row r="173" spans="1:3" ht="12.75">
      <c r="A173" s="163" t="str">
        <f>+A48</f>
        <v>Harlan County Change In Storage</v>
      </c>
      <c r="B173" s="177">
        <f>+B48</f>
        <v>-47110</v>
      </c>
      <c r="C173" s="95"/>
    </row>
    <row r="174" spans="1:3" ht="12.75">
      <c r="A174" s="163" t="str">
        <f>+A44</f>
        <v>Swanson Lake Change In Storage</v>
      </c>
      <c r="B174" s="177">
        <f>+B44</f>
        <v>4735</v>
      </c>
      <c r="C174" s="95"/>
    </row>
    <row r="175" spans="1:3" ht="12.75">
      <c r="A175" s="202"/>
      <c r="B175" s="177"/>
      <c r="C175" s="95"/>
    </row>
    <row r="176" spans="1:3" ht="12.75">
      <c r="A176" s="203" t="s">
        <v>214</v>
      </c>
      <c r="B176" s="177">
        <f>+B75*(1-CanalCUPercent)</f>
        <v>1986</v>
      </c>
      <c r="C176" s="95"/>
    </row>
    <row r="177" spans="1:3" ht="12.75">
      <c r="A177" s="202" t="s">
        <v>212</v>
      </c>
      <c r="B177" s="177">
        <f>+B73*B14*0.17</f>
        <v>761.7904000000002</v>
      </c>
      <c r="C177" s="95"/>
    </row>
    <row r="178" spans="1:3" ht="12.75">
      <c r="A178" s="202" t="s">
        <v>213</v>
      </c>
      <c r="B178" s="177">
        <f>+B74*B15</f>
        <v>0</v>
      </c>
      <c r="C178" s="95"/>
    </row>
    <row r="179" spans="1:3" ht="12.75">
      <c r="A179" s="164" t="s">
        <v>215</v>
      </c>
      <c r="B179" s="177">
        <f>0.24*(B13*B71)</f>
        <v>0</v>
      </c>
      <c r="C179" s="95"/>
    </row>
    <row r="180" spans="1:3" ht="12.75">
      <c r="A180" s="202" t="s">
        <v>211</v>
      </c>
      <c r="B180" s="177">
        <f>+B72*B16*0.9</f>
        <v>0</v>
      </c>
      <c r="C180" s="97"/>
    </row>
    <row r="181" spans="1:3" ht="12.75">
      <c r="A181" s="202"/>
      <c r="B181" s="177"/>
      <c r="C181" s="97"/>
    </row>
    <row r="182" spans="1:3" ht="12.75">
      <c r="A182" s="204" t="str">
        <f>+A62</f>
        <v>Courtland Canal At Kansas-Nebraska State Line</v>
      </c>
      <c r="B182" s="193">
        <f>+B62</f>
        <v>51952</v>
      </c>
      <c r="C182" s="19"/>
    </row>
    <row r="183" spans="1:3" ht="12.75">
      <c r="A183" s="202" t="s">
        <v>168</v>
      </c>
      <c r="B183" s="205">
        <f>+B89</f>
        <v>779.28</v>
      </c>
      <c r="C183" s="19"/>
    </row>
    <row r="184" spans="1:3" ht="12.75">
      <c r="A184" s="163"/>
      <c r="B184" s="177"/>
      <c r="C184" s="95"/>
    </row>
    <row r="185" spans="1:3" ht="12.75">
      <c r="A185" s="162" t="str">
        <f>'NORTH FORK'!A52</f>
        <v>Imported Water</v>
      </c>
      <c r="B185" s="177">
        <f>+B5</f>
        <v>337</v>
      </c>
      <c r="C185" s="181"/>
    </row>
    <row r="186" spans="1:3" ht="12.75">
      <c r="A186" s="162" t="str">
        <f>'NORTH FORK'!A53</f>
        <v>Virgin Water Supply</v>
      </c>
      <c r="B186" s="177">
        <f>B147-SUM(B148:B158)+B160+B161+B162-B164-B165-B166+SUM(B168:B171)+B173+B174-B176-B177-B178+B179-B180+B182-B183-B185</f>
        <v>126212.86398314887</v>
      </c>
      <c r="C186" s="182"/>
    </row>
    <row r="187" spans="1:3" ht="12.75">
      <c r="A187" s="162" t="str">
        <f>'NORTH FORK'!A54</f>
        <v>Adjustment For Flood Flows</v>
      </c>
      <c r="B187" s="177">
        <f>B86</f>
        <v>0</v>
      </c>
      <c r="C187" s="95"/>
    </row>
    <row r="188" spans="1:3" ht="12.75">
      <c r="A188" s="162" t="str">
        <f>'NORTH FORK'!A55</f>
        <v>Computed Water Supply</v>
      </c>
      <c r="B188" s="177">
        <f>+ROUND(B186-B187-SUM(B173:B174),-1)</f>
        <v>168590</v>
      </c>
      <c r="C188" s="95"/>
    </row>
    <row r="189" spans="1:3" ht="12.75">
      <c r="A189" s="164" t="s">
        <v>84</v>
      </c>
      <c r="B189" s="177"/>
      <c r="C189" s="95"/>
    </row>
    <row r="190" spans="1:3" ht="15.75">
      <c r="A190" s="11" t="s">
        <v>12</v>
      </c>
      <c r="B190" s="183"/>
      <c r="C190" s="95"/>
    </row>
    <row r="191" spans="1:3" ht="12.75">
      <c r="A191" s="2" t="str">
        <f>'NORTH FORK'!A58</f>
        <v>Colorado Percent Of Allocation</v>
      </c>
      <c r="B191" s="184">
        <f>'T2'!D17</f>
        <v>0</v>
      </c>
      <c r="C191" s="95"/>
    </row>
    <row r="192" spans="1:3" ht="12.75">
      <c r="A192" s="2" t="str">
        <f>'NORTH FORK'!A59</f>
        <v>Colorado Allocation</v>
      </c>
      <c r="B192" s="32">
        <f>ROUND(B188*B191,-1)</f>
        <v>0</v>
      </c>
      <c r="C192" s="95"/>
    </row>
    <row r="193" spans="1:3" ht="12.75">
      <c r="A193" s="2" t="str">
        <f>'NORTH FORK'!A60</f>
        <v>Kansas Percent Of Allocation</v>
      </c>
      <c r="B193" s="79">
        <f>'T2'!F17</f>
        <v>0.511</v>
      </c>
      <c r="C193" s="95"/>
    </row>
    <row r="194" spans="1:3" ht="12.75">
      <c r="A194" s="2" t="str">
        <f>'NORTH FORK'!A61</f>
        <v>Kansas Allocation</v>
      </c>
      <c r="B194" s="32">
        <f>ROUND(B188*B193,-1)</f>
        <v>86150</v>
      </c>
      <c r="C194" s="95"/>
    </row>
    <row r="195" spans="1:3" ht="12.75">
      <c r="A195" s="2" t="str">
        <f>'NORTH FORK'!A62</f>
        <v>Nebraska Percent Of Allocation</v>
      </c>
      <c r="B195" s="79">
        <f>'T2'!H17</f>
        <v>0.489</v>
      </c>
      <c r="C195" s="95"/>
    </row>
    <row r="196" spans="1:3" ht="12.75">
      <c r="A196" s="2" t="str">
        <f>'NORTH FORK'!A63</f>
        <v>Nebraska Allocation</v>
      </c>
      <c r="B196" s="32">
        <f>ROUND(B188*B195,-1)</f>
        <v>82440</v>
      </c>
      <c r="C196" s="95"/>
    </row>
    <row r="197" spans="1:3" ht="12.75">
      <c r="A197" s="2" t="str">
        <f>'NORTH FORK'!A64</f>
        <v>Total Basin Allocation</v>
      </c>
      <c r="B197" s="32">
        <f>+B192+B194+B196</f>
        <v>168590</v>
      </c>
      <c r="C197" s="95"/>
    </row>
    <row r="198" spans="1:3" ht="12.75">
      <c r="A198" s="2" t="str">
        <f>'NORTH FORK'!A65</f>
        <v>Percent Of Supply Not Allocated</v>
      </c>
      <c r="B198" s="16">
        <f>'T2'!J17</f>
        <v>0</v>
      </c>
      <c r="C198" s="94"/>
    </row>
    <row r="199" spans="1:3" ht="12.75">
      <c r="A199" s="2" t="str">
        <f>'NORTH FORK'!A66</f>
        <v>Quantity Of Unallocated Supply</v>
      </c>
      <c r="B199" s="4">
        <f>+B188-B192-B194-B196</f>
        <v>0</v>
      </c>
      <c r="C199" s="94"/>
    </row>
  </sheetData>
  <sheetProtection/>
  <printOptions headings="1"/>
  <pageMargins left="0.75" right="0.75" top="0.75" bottom="0.5" header="0.25" footer="0.5"/>
  <pageSetup fitToHeight="4" fitToWidth="1" horizontalDpi="600" verticalDpi="600" orientation="portrait" scale="79" r:id="rId1"/>
  <headerFooter alignWithMargins="0">
    <oddHeader>&amp;LRRCA
Compact Accounting&amp;C&amp;A&amp;RPage &amp;P of &amp;N</oddHeader>
  </headerFooter>
  <rowBreaks count="3" manualBreakCount="3">
    <brk id="49" max="3" man="1"/>
    <brk id="98" max="3" man="1"/>
    <brk id="139" max="3" man="1"/>
  </rowBreaks>
</worksheet>
</file>

<file path=xl/worksheets/sheet16.xml><?xml version="1.0" encoding="utf-8"?>
<worksheet xmlns="http://schemas.openxmlformats.org/spreadsheetml/2006/main" xmlns:r="http://schemas.openxmlformats.org/officeDocument/2006/relationships">
  <sheetPr>
    <pageSetUpPr fitToPage="1"/>
  </sheetPr>
  <dimension ref="A1:K19"/>
  <sheetViews>
    <sheetView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B4" sqref="B4"/>
    </sheetView>
  </sheetViews>
  <sheetFormatPr defaultColWidth="9.140625" defaultRowHeight="12.75"/>
  <cols>
    <col min="1" max="1" width="20.00390625" style="0" customWidth="1"/>
    <col min="2" max="10" width="11.7109375" style="0" customWidth="1"/>
  </cols>
  <sheetData>
    <row r="1" spans="1:10" ht="12.75">
      <c r="A1" s="291" t="s">
        <v>9</v>
      </c>
      <c r="B1" s="291"/>
      <c r="C1" s="291"/>
      <c r="D1" s="291"/>
      <c r="E1" s="291"/>
      <c r="F1" s="291"/>
      <c r="G1" s="291"/>
      <c r="H1" s="291"/>
      <c r="I1" s="291"/>
      <c r="J1" s="291"/>
    </row>
    <row r="2" spans="1:10" ht="12.75">
      <c r="A2" s="31">
        <f>+INPUT!C1</f>
        <v>2003</v>
      </c>
      <c r="B2" s="292" t="s">
        <v>10</v>
      </c>
      <c r="C2" s="292" t="s">
        <v>11</v>
      </c>
      <c r="D2" s="294" t="s">
        <v>12</v>
      </c>
      <c r="E2" s="294"/>
      <c r="F2" s="294"/>
      <c r="G2" s="294"/>
      <c r="H2" s="294" t="s">
        <v>3</v>
      </c>
      <c r="I2" s="294"/>
      <c r="J2" s="294"/>
    </row>
    <row r="3" spans="1:10" ht="12.75">
      <c r="A3" s="29" t="s">
        <v>7</v>
      </c>
      <c r="B3" s="293"/>
      <c r="C3" s="293"/>
      <c r="D3" s="21" t="s">
        <v>0</v>
      </c>
      <c r="E3" s="21" t="s">
        <v>13</v>
      </c>
      <c r="F3" s="21" t="s">
        <v>1</v>
      </c>
      <c r="G3" s="21" t="s">
        <v>2</v>
      </c>
      <c r="H3" s="21" t="s">
        <v>0</v>
      </c>
      <c r="I3" s="21" t="s">
        <v>13</v>
      </c>
      <c r="J3" s="21" t="s">
        <v>1</v>
      </c>
    </row>
    <row r="4" spans="1:10" ht="12.75">
      <c r="A4" s="22" t="s">
        <v>14</v>
      </c>
      <c r="B4" s="26">
        <f>ROUND('NORTH FORK'!B53,-1)</f>
        <v>40730</v>
      </c>
      <c r="C4" s="26">
        <f>ROUND('NORTH FORK'!B55,-1)</f>
        <v>40730</v>
      </c>
      <c r="D4" s="26">
        <f>ROUND('NORTH FORK'!B59,-1)</f>
        <v>9120</v>
      </c>
      <c r="E4" s="26">
        <f>ROUND('NORTH FORK'!B61,-1)</f>
        <v>0</v>
      </c>
      <c r="F4" s="26">
        <f>ROUND('NORTH FORK'!B63,-1)</f>
        <v>10020</v>
      </c>
      <c r="G4" s="26">
        <f>ROUND('NORTH FORK'!B66,-1)</f>
        <v>21590</v>
      </c>
      <c r="H4" s="26">
        <f>ROUND('NORTH FORK'!B29,-1)</f>
        <v>16640</v>
      </c>
      <c r="I4" s="26">
        <f>ROUND('NORTH FORK'!B33,-1)</f>
        <v>20</v>
      </c>
      <c r="J4" s="26">
        <f>ROUND('NORTH FORK'!B39,-1)</f>
        <v>4380</v>
      </c>
    </row>
    <row r="5" spans="1:10" ht="12.75">
      <c r="A5" s="22" t="s">
        <v>15</v>
      </c>
      <c r="B5" s="26">
        <f>ROUND(ARIKAREE!B65,-1)</f>
        <v>1910</v>
      </c>
      <c r="C5" s="26">
        <f>ROUND(ARIKAREE!B67,-1)</f>
        <v>1910</v>
      </c>
      <c r="D5" s="26">
        <f>+ARIKAREE!B71</f>
        <v>1500</v>
      </c>
      <c r="E5" s="26">
        <f>+ARIKAREE!B73</f>
        <v>100</v>
      </c>
      <c r="F5" s="26">
        <f>+ARIKAREE!B75</f>
        <v>320</v>
      </c>
      <c r="G5" s="26">
        <f>+ARIKAREE!B78</f>
        <v>-10</v>
      </c>
      <c r="H5" s="26">
        <f>ROUND(ARIKAREE!B34,-1)</f>
        <v>240</v>
      </c>
      <c r="I5" s="26">
        <f>ROUND(ARIKAREE!B43,-1)</f>
        <v>100</v>
      </c>
      <c r="J5" s="26">
        <f>ROUND(ARIKAREE!B52,-1)</f>
        <v>510</v>
      </c>
    </row>
    <row r="6" spans="1:10" ht="12.75">
      <c r="A6" s="22" t="s">
        <v>16</v>
      </c>
      <c r="B6" s="26">
        <f>ROUND(BUFFALO!B56,-1)</f>
        <v>6100</v>
      </c>
      <c r="C6" s="26">
        <f>ROUND(BUFFALO!B58,-1)</f>
        <v>6100</v>
      </c>
      <c r="D6" s="26">
        <f>+BUFFALO!B62</f>
        <v>0</v>
      </c>
      <c r="E6" s="26">
        <f>+BUFFALO!B64</f>
        <v>0</v>
      </c>
      <c r="F6" s="26">
        <f>+BUFFALO!B66</f>
        <v>2010</v>
      </c>
      <c r="G6" s="26">
        <f>+BUFFALO!B69</f>
        <v>4090</v>
      </c>
      <c r="H6" s="26">
        <f>ROUND(BUFFALO!B30,-1)</f>
        <v>270</v>
      </c>
      <c r="I6" s="26">
        <f>ROUND(BUFFALO!B34,-1)</f>
        <v>0</v>
      </c>
      <c r="J6" s="26">
        <f>ROUND(BUFFALO!B43,-1)</f>
        <v>3740</v>
      </c>
    </row>
    <row r="7" spans="1:10" ht="12.75">
      <c r="A7" s="22" t="s">
        <v>5</v>
      </c>
      <c r="B7" s="26">
        <f>ROUND(ROCK!B47,-1)</f>
        <v>8190</v>
      </c>
      <c r="C7" s="26">
        <f>ROUND(ROCK!B49,-1)</f>
        <v>8190</v>
      </c>
      <c r="D7" s="26">
        <f>+ROCK!B53</f>
        <v>0</v>
      </c>
      <c r="E7" s="26">
        <f>+ROCK!B55</f>
        <v>0</v>
      </c>
      <c r="F7" s="26">
        <f>+ROCK!B57</f>
        <v>3280</v>
      </c>
      <c r="G7" s="26">
        <f>+ROCK!B60</f>
        <v>4910</v>
      </c>
      <c r="H7" s="26">
        <f>ROUND(ROCK!B21,-1)</f>
        <v>60</v>
      </c>
      <c r="I7" s="26">
        <f>ROUND(ROCK!B25,-1)</f>
        <v>0</v>
      </c>
      <c r="J7" s="26">
        <f>ROUND(ROCK!B34,-1)</f>
        <v>3420</v>
      </c>
    </row>
    <row r="8" spans="1:10" ht="12.75">
      <c r="A8" s="22" t="s">
        <v>17</v>
      </c>
      <c r="B8" s="26">
        <f>ROUND('SOUTH FORK'!B71,-1)</f>
        <v>21500</v>
      </c>
      <c r="C8" s="26">
        <f>ROUND('SOUTH FORK'!B73,-1)</f>
        <v>23730</v>
      </c>
      <c r="D8" s="26">
        <f>+'SOUTH FORK'!B77</f>
        <v>10540</v>
      </c>
      <c r="E8" s="26">
        <f>+'SOUTH FORK'!B79</f>
        <v>9540</v>
      </c>
      <c r="F8" s="26">
        <f>+'SOUTH FORK'!B81</f>
        <v>330</v>
      </c>
      <c r="G8" s="26">
        <f>+'SOUTH FORK'!B84</f>
        <v>3320</v>
      </c>
      <c r="H8" s="26">
        <f>ROUND('SOUTH FORK'!B39,-1)</f>
        <v>16090</v>
      </c>
      <c r="I8" s="26">
        <f>ROUND('SOUTH FORK'!B48,-1)</f>
        <v>5380</v>
      </c>
      <c r="J8" s="26">
        <f>ROUND('SOUTH FORK'!B57,-1)</f>
        <v>1350</v>
      </c>
    </row>
    <row r="9" spans="1:10" ht="12.75">
      <c r="A9" s="22" t="s">
        <v>18</v>
      </c>
      <c r="B9" s="26">
        <f>ROUND(FRENCHMAN!B65,-1)</f>
        <v>105700</v>
      </c>
      <c r="C9" s="26">
        <f>ROUND(FRENCHMAN!B67,-1)</f>
        <v>105920</v>
      </c>
      <c r="D9" s="26">
        <f>+FRENCHMAN!B71</f>
        <v>0</v>
      </c>
      <c r="E9" s="26">
        <f>+FRENCHMAN!B73</f>
        <v>0</v>
      </c>
      <c r="F9" s="26">
        <f>+FRENCHMAN!B75</f>
        <v>56770</v>
      </c>
      <c r="G9" s="26">
        <f>+FRENCHMAN!B78</f>
        <v>49150</v>
      </c>
      <c r="H9" s="26">
        <f>ROUND(FRENCHMAN!B31,-1)</f>
        <v>40</v>
      </c>
      <c r="I9" s="26">
        <f>ROUND(FRENCHMAN!B35,-1)</f>
        <v>0</v>
      </c>
      <c r="J9" s="26">
        <f>ROUND(FRENCHMAN!B49,-1)</f>
        <v>91760</v>
      </c>
    </row>
    <row r="10" spans="1:10" ht="12.75">
      <c r="A10" s="22" t="s">
        <v>19</v>
      </c>
      <c r="B10" s="26">
        <f>ROUND(DRIFTWOOD!B61,-1)</f>
        <v>2490</v>
      </c>
      <c r="C10" s="26">
        <f>ROUND(DRIFTWOOD!B63,-1)</f>
        <v>2490</v>
      </c>
      <c r="D10" s="26">
        <f>+DRIFTWOOD!B67</f>
        <v>0</v>
      </c>
      <c r="E10" s="26">
        <f>+DRIFTWOOD!B69</f>
        <v>170</v>
      </c>
      <c r="F10" s="26">
        <f>+DRIFTWOOD!B71</f>
        <v>410</v>
      </c>
      <c r="G10" s="26">
        <f>+DRIFTWOOD!B74</f>
        <v>1910</v>
      </c>
      <c r="H10" s="26">
        <f>ROUND(DRIFTWOOD!B29,-1)</f>
        <v>0</v>
      </c>
      <c r="I10" s="26">
        <f>ROUND(DRIFTWOOD!B38,-1)</f>
        <v>0</v>
      </c>
      <c r="J10" s="26">
        <f>ROUND(DRIFTWOOD!B47,-1)</f>
        <v>1390</v>
      </c>
    </row>
    <row r="11" spans="1:10" ht="12.75">
      <c r="A11" s="22" t="s">
        <v>20</v>
      </c>
      <c r="B11" s="26">
        <f>ROUND('RED WILLOW'!B59,-1)</f>
        <v>17350</v>
      </c>
      <c r="C11" s="26">
        <f>ROUND('RED WILLOW'!B61,-1)</f>
        <v>14400</v>
      </c>
      <c r="D11" s="26">
        <f>+'RED WILLOW'!B65</f>
        <v>0</v>
      </c>
      <c r="E11" s="26">
        <f>+'RED WILLOW'!B67</f>
        <v>0</v>
      </c>
      <c r="F11" s="26">
        <f>+'RED WILLOW'!B69</f>
        <v>2760</v>
      </c>
      <c r="G11" s="26">
        <f>+'RED WILLOW'!B72</f>
        <v>11640</v>
      </c>
      <c r="H11" s="26">
        <f>ROUND('RED WILLOW'!B27,-1)</f>
        <v>0</v>
      </c>
      <c r="I11" s="26">
        <f>ROUND('RED WILLOW'!B31,-1)</f>
        <v>0</v>
      </c>
      <c r="J11" s="26">
        <f>ROUND('RED WILLOW'!B42,-1)</f>
        <v>8310</v>
      </c>
    </row>
    <row r="12" spans="1:10" ht="12.75">
      <c r="A12" s="22" t="s">
        <v>21</v>
      </c>
      <c r="B12" s="26">
        <f>ROUND('MEDICINE CREEK'!B64,-1)</f>
        <v>38930</v>
      </c>
      <c r="C12" s="26">
        <f>ROUND('MEDICINE CREEK'!B66,-1)</f>
        <v>35550</v>
      </c>
      <c r="D12" s="26">
        <f>+'MEDICINE CREEK'!B70</f>
        <v>0</v>
      </c>
      <c r="E12" s="26">
        <f>+'MEDICINE CREEK'!B72</f>
        <v>0</v>
      </c>
      <c r="F12" s="26">
        <f>+'MEDICINE CREEK'!B74</f>
        <v>3240</v>
      </c>
      <c r="G12" s="26">
        <f>+'MEDICINE CREEK'!B77</f>
        <v>32310</v>
      </c>
      <c r="H12" s="26">
        <f>ROUND('MEDICINE CREEK'!B27,-1)</f>
        <v>0</v>
      </c>
      <c r="I12" s="26">
        <f>ROUND('MEDICINE CREEK'!B31,-1)</f>
        <v>0</v>
      </c>
      <c r="J12" s="26">
        <f>ROUND('MEDICINE CREEK'!B44,-1)</f>
        <v>21440</v>
      </c>
    </row>
    <row r="13" spans="1:10" ht="12.75">
      <c r="A13" s="22" t="s">
        <v>22</v>
      </c>
      <c r="B13" s="26">
        <f>ROUND(BEAVER!B78,-1)</f>
        <v>1290</v>
      </c>
      <c r="C13" s="26">
        <f>ROUND(BEAVER!B80,-1)</f>
        <v>1290</v>
      </c>
      <c r="D13" s="26">
        <f>+BEAVER!B84</f>
        <v>260</v>
      </c>
      <c r="E13" s="26">
        <f>+BEAVER!B86</f>
        <v>500</v>
      </c>
      <c r="F13" s="26">
        <f>+BEAVER!B88</f>
        <v>520</v>
      </c>
      <c r="G13" s="26">
        <f>+BEAVER!B91</f>
        <v>10</v>
      </c>
      <c r="H13" s="26">
        <f>ROUND(BEAVER!B38,-1)</f>
        <v>0</v>
      </c>
      <c r="I13" s="26">
        <f>ROUND(BEAVER!B47,-1)</f>
        <v>290</v>
      </c>
      <c r="J13" s="26">
        <f>ROUND(BEAVER!B60,-1)</f>
        <v>780</v>
      </c>
    </row>
    <row r="14" spans="1:10" ht="12.75">
      <c r="A14" s="22" t="s">
        <v>23</v>
      </c>
      <c r="B14" s="26">
        <f>ROUND(SAPPA!B72,-1)</f>
        <v>190</v>
      </c>
      <c r="C14" s="26">
        <f>ROUND(SAPPA!B74,-1)</f>
        <v>190</v>
      </c>
      <c r="D14" s="26">
        <f>+SAPPA!B78</f>
        <v>0</v>
      </c>
      <c r="E14" s="26">
        <f>+SAPPA!B80</f>
        <v>80</v>
      </c>
      <c r="F14" s="26">
        <f>+SAPPA!B82</f>
        <v>80</v>
      </c>
      <c r="G14" s="26">
        <f>+SAPPA!B85</f>
        <v>30</v>
      </c>
      <c r="H14" s="26">
        <f>ROUND(SAPPA!B30,-1)</f>
        <v>0</v>
      </c>
      <c r="I14" s="26">
        <f>ROUND(SAPPA!B39,-1)</f>
        <v>-260</v>
      </c>
      <c r="J14" s="26">
        <f>ROUND(SAPPA!B53,-1)</f>
        <v>510</v>
      </c>
    </row>
    <row r="15" spans="1:10" ht="12.75">
      <c r="A15" s="22" t="s">
        <v>24</v>
      </c>
      <c r="B15" s="26">
        <f>ROUND('PRAIRIE DOG'!B70,-1)</f>
        <v>3350</v>
      </c>
      <c r="C15" s="26">
        <f>ROUND('PRAIRIE DOG'!B72,-1)</f>
        <v>7690</v>
      </c>
      <c r="D15" s="26">
        <f>+'PRAIRIE DOG'!B76</f>
        <v>0</v>
      </c>
      <c r="E15" s="26">
        <f>+'PRAIRIE DOG'!B78</f>
        <v>3510</v>
      </c>
      <c r="F15" s="26">
        <f>+'PRAIRIE DOG'!B80</f>
        <v>580</v>
      </c>
      <c r="G15" s="26">
        <f>+'PRAIRIE DOG'!B83</f>
        <v>3600</v>
      </c>
      <c r="H15" s="26">
        <f>ROUND('PRAIRIE DOG'!B31,-1)</f>
        <v>0</v>
      </c>
      <c r="I15" s="26">
        <f>ROUND('PRAIRIE DOG'!B42,-1)</f>
        <v>6600</v>
      </c>
      <c r="J15" s="123">
        <f>ROUND('PRAIRIE DOG'!B66,-1)</f>
        <v>40</v>
      </c>
    </row>
    <row r="16" spans="1:10" ht="13.5" thickBot="1">
      <c r="A16" s="23" t="s">
        <v>6</v>
      </c>
      <c r="B16" s="27">
        <f>ROUND(MAINSTEM!B186,-1)</f>
        <v>126210</v>
      </c>
      <c r="C16" s="27">
        <f>ROUND(MAINSTEM!B188,-1)</f>
        <v>168590</v>
      </c>
      <c r="D16" s="27">
        <f>+MAINSTEM!B192</f>
        <v>0</v>
      </c>
      <c r="E16" s="27">
        <f>+MAINSTEM!B194</f>
        <v>86150</v>
      </c>
      <c r="F16" s="27">
        <f>+MAINSTEM!B196</f>
        <v>82440</v>
      </c>
      <c r="G16" s="27">
        <f>+MAINSTEM!B199</f>
        <v>0</v>
      </c>
      <c r="H16" s="27">
        <f>ROUND(MAINSTEM!B102,-1)</f>
        <v>130</v>
      </c>
      <c r="I16" s="27">
        <f>ROUND(MAINSTEM!B117,-1)</f>
        <v>36780</v>
      </c>
      <c r="J16" s="27">
        <f>ROUND(MAINSTEM!B139,-1)</f>
        <v>125150</v>
      </c>
    </row>
    <row r="17" spans="1:11" ht="13.5" thickTop="1">
      <c r="A17" s="24" t="s">
        <v>8</v>
      </c>
      <c r="B17" s="28">
        <f>SUM(B4:B16)</f>
        <v>373940</v>
      </c>
      <c r="C17" s="28">
        <f aca="true" t="shared" si="0" ref="C17:J17">SUM(C4:C16)</f>
        <v>416780</v>
      </c>
      <c r="D17" s="28">
        <f t="shared" si="0"/>
        <v>21420</v>
      </c>
      <c r="E17" s="28">
        <f t="shared" si="0"/>
        <v>100050</v>
      </c>
      <c r="F17" s="28">
        <f t="shared" si="0"/>
        <v>162760</v>
      </c>
      <c r="G17" s="28">
        <f t="shared" si="0"/>
        <v>132550</v>
      </c>
      <c r="H17" s="28">
        <f t="shared" si="0"/>
        <v>33470</v>
      </c>
      <c r="I17" s="28">
        <f t="shared" si="0"/>
        <v>48910</v>
      </c>
      <c r="J17" s="28">
        <f t="shared" si="0"/>
        <v>262780</v>
      </c>
      <c r="K17" s="36"/>
    </row>
    <row r="18" spans="1:10" ht="35.25" customHeight="1" thickBot="1">
      <c r="A18" s="25" t="s">
        <v>25</v>
      </c>
      <c r="B18" s="27"/>
      <c r="C18" s="27">
        <f>+C16+G17</f>
        <v>301140</v>
      </c>
      <c r="D18" s="27">
        <f>+D16</f>
        <v>0</v>
      </c>
      <c r="E18" s="27">
        <f>E16+ROUND(G17*0.511,-1)</f>
        <v>153880</v>
      </c>
      <c r="F18" s="27">
        <f>F16+ROUND(G17*0.489,-1)</f>
        <v>147260</v>
      </c>
      <c r="G18" s="27"/>
      <c r="H18" s="27"/>
      <c r="I18" s="27"/>
      <c r="J18" s="27"/>
    </row>
    <row r="19" spans="1:11" ht="13.5" thickTop="1">
      <c r="A19" s="24" t="s">
        <v>4</v>
      </c>
      <c r="B19" s="28">
        <f>SUM(B4:B16)</f>
        <v>373940</v>
      </c>
      <c r="C19" s="28">
        <f>SUM(C4:C16)</f>
        <v>416780</v>
      </c>
      <c r="D19" s="28">
        <f>SUM(D4:D15,D18)</f>
        <v>21420</v>
      </c>
      <c r="E19" s="28">
        <f>SUM(E4:E15,E18)</f>
        <v>167780</v>
      </c>
      <c r="F19" s="28">
        <f>SUM(F4:F15,F18)</f>
        <v>227580</v>
      </c>
      <c r="G19" s="28">
        <f>+G18</f>
        <v>0</v>
      </c>
      <c r="H19" s="28">
        <f>SUM(H4:H16)</f>
        <v>33470</v>
      </c>
      <c r="I19" s="28">
        <f>SUM(I4:I16)</f>
        <v>48910</v>
      </c>
      <c r="J19" s="28">
        <f>SUM(J4:J16)</f>
        <v>262780</v>
      </c>
      <c r="K19" s="36"/>
    </row>
  </sheetData>
  <sheetProtection/>
  <mergeCells count="5">
    <mergeCell ref="A1:J1"/>
    <mergeCell ref="B2:B3"/>
    <mergeCell ref="C2:C3"/>
    <mergeCell ref="D2:G2"/>
    <mergeCell ref="H2:J2"/>
  </mergeCells>
  <printOptions/>
  <pageMargins left="0.75" right="0.75" top="1" bottom="1" header="0.5" footer="0.5"/>
  <pageSetup fitToHeight="1" fitToWidth="1" horizontalDpi="600" verticalDpi="600" orientation="landscape" scale="98" r:id="rId1"/>
  <headerFooter alignWithMargins="0">
    <oddHeader>&amp;LRRCA
Compact Accounting&amp;RPage &amp;P of &amp;N</oddHeader>
  </headerFooter>
</worksheet>
</file>

<file path=xl/worksheets/sheet17.xml><?xml version="1.0" encoding="utf-8"?>
<worksheet xmlns="http://schemas.openxmlformats.org/spreadsheetml/2006/main" xmlns:r="http://schemas.openxmlformats.org/officeDocument/2006/relationships">
  <sheetPr codeName="Sheet17">
    <pageSetUpPr fitToPage="1"/>
  </sheetPr>
  <dimension ref="A1:J18"/>
  <sheetViews>
    <sheetView zoomScalePageLayoutView="0" workbookViewId="0" topLeftCell="A1">
      <selection activeCell="A1" sqref="A1:J1"/>
    </sheetView>
  </sheetViews>
  <sheetFormatPr defaultColWidth="9.140625" defaultRowHeight="12.75"/>
  <cols>
    <col min="1" max="1" width="14.57421875" style="0" customWidth="1"/>
    <col min="2" max="3" width="9.140625" style="36" customWidth="1"/>
    <col min="4" max="4" width="9.140625" style="7" customWidth="1"/>
    <col min="5" max="5" width="9.140625" style="36" customWidth="1"/>
    <col min="6" max="6" width="9.140625" style="7" customWidth="1"/>
    <col min="7" max="7" width="9.140625" style="36" customWidth="1"/>
    <col min="8" max="8" width="9.140625" style="7" customWidth="1"/>
    <col min="9" max="9" width="10.421875" style="36" customWidth="1"/>
    <col min="10" max="10" width="9.140625" style="7" customWidth="1"/>
  </cols>
  <sheetData>
    <row r="1" spans="1:10" ht="12.75">
      <c r="A1" s="295" t="s">
        <v>26</v>
      </c>
      <c r="B1" s="295"/>
      <c r="C1" s="295"/>
      <c r="D1" s="295"/>
      <c r="E1" s="295"/>
      <c r="F1" s="295"/>
      <c r="G1" s="295"/>
      <c r="H1" s="295"/>
      <c r="I1" s="295"/>
      <c r="J1" s="295"/>
    </row>
    <row r="2" spans="1:10" ht="36">
      <c r="A2" s="33" t="s">
        <v>7</v>
      </c>
      <c r="B2" s="35" t="s">
        <v>10</v>
      </c>
      <c r="C2" s="35" t="s">
        <v>27</v>
      </c>
      <c r="D2" s="37" t="s">
        <v>28</v>
      </c>
      <c r="E2" s="35" t="s">
        <v>29</v>
      </c>
      <c r="F2" s="37" t="s">
        <v>28</v>
      </c>
      <c r="G2" s="35" t="s">
        <v>30</v>
      </c>
      <c r="H2" s="37" t="s">
        <v>28</v>
      </c>
      <c r="I2" s="35" t="s">
        <v>2</v>
      </c>
      <c r="J2" s="37" t="s">
        <v>28</v>
      </c>
    </row>
    <row r="3" spans="1:10" ht="19.5" customHeight="1">
      <c r="A3" s="22" t="s">
        <v>14</v>
      </c>
      <c r="B3" s="26">
        <v>44700</v>
      </c>
      <c r="C3" s="26">
        <v>10000</v>
      </c>
      <c r="D3" s="38">
        <v>0.224</v>
      </c>
      <c r="E3" s="26"/>
      <c r="F3" s="38"/>
      <c r="G3" s="26">
        <v>11000</v>
      </c>
      <c r="H3" s="38">
        <v>0.246</v>
      </c>
      <c r="I3" s="26">
        <v>23700</v>
      </c>
      <c r="J3" s="38">
        <v>0.53</v>
      </c>
    </row>
    <row r="4" spans="1:10" ht="19.5" customHeight="1">
      <c r="A4" s="22" t="s">
        <v>15</v>
      </c>
      <c r="B4" s="26">
        <v>19610</v>
      </c>
      <c r="C4" s="26">
        <v>15400</v>
      </c>
      <c r="D4" s="38">
        <v>0.785</v>
      </c>
      <c r="E4" s="26">
        <v>1000</v>
      </c>
      <c r="F4" s="38">
        <v>0.051</v>
      </c>
      <c r="G4" s="26">
        <v>3300</v>
      </c>
      <c r="H4" s="38">
        <v>0.168</v>
      </c>
      <c r="I4" s="26">
        <v>-90</v>
      </c>
      <c r="J4" s="38">
        <v>-0.004</v>
      </c>
    </row>
    <row r="5" spans="1:10" ht="19.5" customHeight="1">
      <c r="A5" s="22" t="s">
        <v>16</v>
      </c>
      <c r="B5" s="26">
        <v>7890</v>
      </c>
      <c r="C5" s="26"/>
      <c r="D5" s="38"/>
      <c r="E5" s="26"/>
      <c r="F5" s="38"/>
      <c r="G5" s="26">
        <v>2600</v>
      </c>
      <c r="H5" s="38">
        <v>0.33</v>
      </c>
      <c r="I5" s="26">
        <v>5290</v>
      </c>
      <c r="J5" s="38">
        <v>0.67</v>
      </c>
    </row>
    <row r="6" spans="1:10" ht="19.5" customHeight="1">
      <c r="A6" s="22" t="s">
        <v>5</v>
      </c>
      <c r="B6" s="26">
        <v>11000</v>
      </c>
      <c r="C6" s="26"/>
      <c r="D6" s="38"/>
      <c r="E6" s="26"/>
      <c r="F6" s="38"/>
      <c r="G6" s="26">
        <v>4400</v>
      </c>
      <c r="H6" s="38">
        <v>0.4</v>
      </c>
      <c r="I6" s="26">
        <v>6600</v>
      </c>
      <c r="J6" s="38">
        <v>0.6</v>
      </c>
    </row>
    <row r="7" spans="1:10" ht="19.5" customHeight="1">
      <c r="A7" s="22" t="s">
        <v>17</v>
      </c>
      <c r="B7" s="26">
        <v>57200</v>
      </c>
      <c r="C7" s="26">
        <v>25400</v>
      </c>
      <c r="D7" s="38">
        <v>0.444</v>
      </c>
      <c r="E7" s="26">
        <v>23000</v>
      </c>
      <c r="F7" s="38">
        <v>0.402</v>
      </c>
      <c r="G7" s="26">
        <v>800</v>
      </c>
      <c r="H7" s="38">
        <v>0.014</v>
      </c>
      <c r="I7" s="26">
        <v>8000</v>
      </c>
      <c r="J7" s="38">
        <v>0.14</v>
      </c>
    </row>
    <row r="8" spans="1:10" ht="19.5" customHeight="1">
      <c r="A8" s="22" t="s">
        <v>18</v>
      </c>
      <c r="B8" s="26">
        <v>98500</v>
      </c>
      <c r="C8" s="26"/>
      <c r="D8" s="38"/>
      <c r="E8" s="26"/>
      <c r="F8" s="38"/>
      <c r="G8" s="26">
        <v>52800</v>
      </c>
      <c r="H8" s="38">
        <v>0.536</v>
      </c>
      <c r="I8" s="26">
        <v>45700</v>
      </c>
      <c r="J8" s="38">
        <v>0.464</v>
      </c>
    </row>
    <row r="9" spans="1:10" ht="19.5" customHeight="1">
      <c r="A9" s="22" t="s">
        <v>19</v>
      </c>
      <c r="B9" s="26">
        <v>7300</v>
      </c>
      <c r="C9" s="26"/>
      <c r="D9" s="38"/>
      <c r="E9" s="26">
        <v>500</v>
      </c>
      <c r="F9" s="38">
        <v>0.069</v>
      </c>
      <c r="G9" s="26">
        <v>1200</v>
      </c>
      <c r="H9" s="38">
        <v>0.164</v>
      </c>
      <c r="I9" s="26">
        <v>5600</v>
      </c>
      <c r="J9" s="38">
        <v>0.767</v>
      </c>
    </row>
    <row r="10" spans="1:10" ht="19.5" customHeight="1">
      <c r="A10" s="22" t="s">
        <v>20</v>
      </c>
      <c r="B10" s="26">
        <v>21900</v>
      </c>
      <c r="C10" s="26"/>
      <c r="D10" s="38"/>
      <c r="E10" s="26"/>
      <c r="F10" s="38"/>
      <c r="G10" s="26">
        <v>4200</v>
      </c>
      <c r="H10" s="38">
        <v>0.192</v>
      </c>
      <c r="I10" s="26">
        <v>17700</v>
      </c>
      <c r="J10" s="38">
        <v>0.808</v>
      </c>
    </row>
    <row r="11" spans="1:10" ht="19.5" customHeight="1">
      <c r="A11" s="22" t="s">
        <v>21</v>
      </c>
      <c r="B11" s="26">
        <v>50800</v>
      </c>
      <c r="C11" s="26"/>
      <c r="D11" s="38"/>
      <c r="E11" s="26"/>
      <c r="F11" s="38"/>
      <c r="G11" s="26">
        <v>4600</v>
      </c>
      <c r="H11" s="38">
        <v>0.091</v>
      </c>
      <c r="I11" s="26">
        <v>46200</v>
      </c>
      <c r="J11" s="38">
        <v>0.909</v>
      </c>
    </row>
    <row r="12" spans="1:10" ht="19.5" customHeight="1">
      <c r="A12" s="22" t="s">
        <v>22</v>
      </c>
      <c r="B12" s="26">
        <v>16500</v>
      </c>
      <c r="C12" s="26">
        <v>3300</v>
      </c>
      <c r="D12" s="38">
        <v>0.2</v>
      </c>
      <c r="E12" s="26">
        <v>6400</v>
      </c>
      <c r="F12" s="38">
        <v>0.388</v>
      </c>
      <c r="G12" s="26">
        <v>6700</v>
      </c>
      <c r="H12" s="38">
        <v>0.406</v>
      </c>
      <c r="I12" s="26">
        <v>100</v>
      </c>
      <c r="J12" s="38">
        <v>0.006</v>
      </c>
    </row>
    <row r="13" spans="1:10" ht="19.5" customHeight="1">
      <c r="A13" s="22" t="s">
        <v>23</v>
      </c>
      <c r="B13" s="26">
        <v>21400</v>
      </c>
      <c r="C13" s="26"/>
      <c r="D13" s="38"/>
      <c r="E13" s="26">
        <v>8800</v>
      </c>
      <c r="F13" s="38">
        <v>0.411</v>
      </c>
      <c r="G13" s="26">
        <v>8800</v>
      </c>
      <c r="H13" s="38">
        <v>0.411</v>
      </c>
      <c r="I13" s="26">
        <v>3800</v>
      </c>
      <c r="J13" s="38">
        <v>0.178</v>
      </c>
    </row>
    <row r="14" spans="1:10" ht="19.5" customHeight="1">
      <c r="A14" s="22" t="s">
        <v>24</v>
      </c>
      <c r="B14" s="26">
        <v>27600</v>
      </c>
      <c r="C14" s="26"/>
      <c r="D14" s="38"/>
      <c r="E14" s="26">
        <v>12600</v>
      </c>
      <c r="F14" s="38">
        <v>0.457</v>
      </c>
      <c r="G14" s="26">
        <v>2100</v>
      </c>
      <c r="H14" s="38">
        <v>0.076</v>
      </c>
      <c r="I14" s="26">
        <v>12900</v>
      </c>
      <c r="J14" s="38">
        <v>0.467</v>
      </c>
    </row>
    <row r="15" spans="1:10" ht="30" customHeight="1">
      <c r="A15" s="34" t="s">
        <v>32</v>
      </c>
      <c r="B15" s="26">
        <v>384000</v>
      </c>
      <c r="C15" s="26"/>
      <c r="D15" s="38"/>
      <c r="E15" s="26"/>
      <c r="F15" s="38"/>
      <c r="G15" s="26"/>
      <c r="H15" s="38"/>
      <c r="I15" s="26">
        <v>175500</v>
      </c>
      <c r="J15" s="38"/>
    </row>
    <row r="16" spans="1:10" ht="19.5" customHeight="1">
      <c r="A16" s="22" t="s">
        <v>6</v>
      </c>
      <c r="B16" s="26">
        <v>94500</v>
      </c>
      <c r="C16" s="26"/>
      <c r="D16" s="38"/>
      <c r="E16" s="26"/>
      <c r="F16" s="38"/>
      <c r="G16" s="26"/>
      <c r="H16" s="38"/>
      <c r="I16" s="26"/>
      <c r="J16" s="38"/>
    </row>
    <row r="17" spans="1:10" ht="30" customHeight="1" thickBot="1">
      <c r="A17" s="25" t="s">
        <v>31</v>
      </c>
      <c r="B17" s="27">
        <v>270000</v>
      </c>
      <c r="C17" s="27"/>
      <c r="D17" s="39"/>
      <c r="E17" s="27">
        <v>138000</v>
      </c>
      <c r="F17" s="39">
        <v>0.511</v>
      </c>
      <c r="G17" s="27">
        <v>132000</v>
      </c>
      <c r="H17" s="39">
        <v>0.489</v>
      </c>
      <c r="I17" s="27"/>
      <c r="J17" s="39"/>
    </row>
    <row r="18" spans="1:10" ht="19.5" customHeight="1" thickTop="1">
      <c r="A18" s="24" t="s">
        <v>4</v>
      </c>
      <c r="B18" s="28">
        <v>478900</v>
      </c>
      <c r="C18" s="28">
        <v>54100</v>
      </c>
      <c r="D18" s="40"/>
      <c r="E18" s="28">
        <v>190300</v>
      </c>
      <c r="F18" s="40"/>
      <c r="G18" s="28">
        <v>234500</v>
      </c>
      <c r="H18" s="40"/>
      <c r="I18" s="28"/>
      <c r="J18" s="40"/>
    </row>
  </sheetData>
  <sheetProtection/>
  <mergeCells count="1">
    <mergeCell ref="A1:J1"/>
  </mergeCells>
  <printOptions/>
  <pageMargins left="0.75" right="0.75" top="1" bottom="1" header="0.5" footer="0.5"/>
  <pageSetup fitToHeight="1" fitToWidth="1" horizontalDpi="600" verticalDpi="600" orientation="landscape" r:id="rId1"/>
  <headerFooter alignWithMargins="0">
    <oddHeader>&amp;LRRCA
Compact Accounting&amp;RPage &amp;P of &amp;N</oddHeader>
  </headerFooter>
</worksheet>
</file>

<file path=xl/worksheets/sheet18.xml><?xml version="1.0" encoding="utf-8"?>
<worksheet xmlns="http://schemas.openxmlformats.org/spreadsheetml/2006/main" xmlns:r="http://schemas.openxmlformats.org/officeDocument/2006/relationships">
  <sheetPr codeName="Sheet18">
    <pageSetUpPr fitToPage="1"/>
  </sheetPr>
  <dimension ref="A1:E26"/>
  <sheetViews>
    <sheetView zoomScalePageLayoutView="0" workbookViewId="0" topLeftCell="A1">
      <selection activeCell="A1" sqref="A1:E1"/>
    </sheetView>
  </sheetViews>
  <sheetFormatPr defaultColWidth="31.7109375" defaultRowHeight="40.5" customHeight="1"/>
  <cols>
    <col min="1" max="1" width="18.140625" style="53" customWidth="1"/>
    <col min="2" max="2" width="20.8515625" style="53" customWidth="1"/>
    <col min="3" max="4" width="21.57421875" style="53" customWidth="1"/>
    <col min="5" max="5" width="18.421875" style="53" customWidth="1"/>
    <col min="6" max="16384" width="31.7109375" style="53" customWidth="1"/>
  </cols>
  <sheetData>
    <row r="1" spans="1:5" ht="24.75" customHeight="1">
      <c r="A1" s="296" t="s">
        <v>33</v>
      </c>
      <c r="B1" s="296"/>
      <c r="C1" s="296"/>
      <c r="D1" s="296"/>
      <c r="E1" s="296"/>
    </row>
    <row r="2" spans="1:5" ht="24.75" customHeight="1">
      <c r="A2" s="42" t="s">
        <v>34</v>
      </c>
      <c r="B2" s="42" t="s">
        <v>35</v>
      </c>
      <c r="C2" s="42" t="s">
        <v>3</v>
      </c>
      <c r="D2" s="42" t="s">
        <v>36</v>
      </c>
      <c r="E2" s="42" t="s">
        <v>557</v>
      </c>
    </row>
    <row r="3" spans="1:5" ht="24.75" customHeight="1">
      <c r="A3" s="71">
        <v>2003</v>
      </c>
      <c r="B3" s="72">
        <f>'T1'!D19</f>
        <v>21420</v>
      </c>
      <c r="C3" s="72">
        <f>'T1'!H19</f>
        <v>33470</v>
      </c>
      <c r="D3" s="72" t="s">
        <v>433</v>
      </c>
      <c r="E3" s="72">
        <f>+B3-C3</f>
        <v>-12050</v>
      </c>
    </row>
    <row r="4" spans="1:5" ht="24.75" customHeight="1">
      <c r="A4" s="71">
        <f>A3+1</f>
        <v>2004</v>
      </c>
      <c r="B4" s="72"/>
      <c r="C4" s="72"/>
      <c r="D4" s="72" t="s">
        <v>433</v>
      </c>
      <c r="E4" s="72"/>
    </row>
    <row r="5" spans="1:5" ht="24.75" customHeight="1">
      <c r="A5" s="71">
        <f>A4+1</f>
        <v>2005</v>
      </c>
      <c r="B5" s="72"/>
      <c r="C5" s="72"/>
      <c r="D5" s="72" t="s">
        <v>433</v>
      </c>
      <c r="E5" s="72"/>
    </row>
    <row r="6" spans="1:5" ht="24.75" customHeight="1">
      <c r="A6" s="71">
        <f>A5+1</f>
        <v>2006</v>
      </c>
      <c r="B6" s="72"/>
      <c r="C6" s="72"/>
      <c r="D6" s="72" t="s">
        <v>433</v>
      </c>
      <c r="E6" s="72"/>
    </row>
    <row r="7" spans="1:5" ht="24.75" customHeight="1" thickBot="1">
      <c r="A7" s="71">
        <f>A6+1</f>
        <v>2007</v>
      </c>
      <c r="B7" s="73"/>
      <c r="C7" s="73"/>
      <c r="D7" s="72" t="s">
        <v>433</v>
      </c>
      <c r="E7" s="72"/>
    </row>
    <row r="8" spans="1:5" ht="24.75" customHeight="1" thickTop="1">
      <c r="A8" s="75" t="s">
        <v>37</v>
      </c>
      <c r="B8" s="76">
        <f>ROUND(+AVERAGE(B3:B7),-1)</f>
        <v>21420</v>
      </c>
      <c r="C8" s="76">
        <f>ROUND(+AVERAGE(C3:C7),-1)</f>
        <v>33470</v>
      </c>
      <c r="D8" s="76"/>
      <c r="E8" s="76">
        <f>ROUND(+AVERAGE(E3:E7),-1)</f>
        <v>-12050</v>
      </c>
    </row>
    <row r="9" ht="24.75" customHeight="1"/>
    <row r="10" spans="1:5" ht="24.75" customHeight="1">
      <c r="A10" s="296" t="s">
        <v>38</v>
      </c>
      <c r="B10" s="296"/>
      <c r="C10" s="296"/>
      <c r="D10" s="296"/>
      <c r="E10" s="296"/>
    </row>
    <row r="11" spans="1:5" ht="24.75" customHeight="1">
      <c r="A11" s="42" t="s">
        <v>34</v>
      </c>
      <c r="B11" s="42" t="s">
        <v>35</v>
      </c>
      <c r="C11" s="42" t="s">
        <v>3</v>
      </c>
      <c r="D11" s="42" t="s">
        <v>36</v>
      </c>
      <c r="E11" s="42" t="s">
        <v>558</v>
      </c>
    </row>
    <row r="12" spans="1:5" ht="24.75" customHeight="1">
      <c r="A12" s="71">
        <v>2003</v>
      </c>
      <c r="B12" s="72">
        <f>'T1'!E19</f>
        <v>167780</v>
      </c>
      <c r="C12" s="72">
        <f>'T1'!I19</f>
        <v>48910</v>
      </c>
      <c r="D12" s="72" t="s">
        <v>433</v>
      </c>
      <c r="E12" s="72">
        <f>+B12-C12</f>
        <v>118870</v>
      </c>
    </row>
    <row r="13" spans="1:5" ht="24.75" customHeight="1">
      <c r="A13" s="71">
        <f>A12+1</f>
        <v>2004</v>
      </c>
      <c r="B13" s="72"/>
      <c r="C13" s="72"/>
      <c r="D13" s="72" t="s">
        <v>433</v>
      </c>
      <c r="E13" s="72"/>
    </row>
    <row r="14" spans="1:5" ht="24.75" customHeight="1">
      <c r="A14" s="71">
        <f>A13+1</f>
        <v>2005</v>
      </c>
      <c r="B14" s="72"/>
      <c r="C14" s="72"/>
      <c r="D14" s="72" t="s">
        <v>433</v>
      </c>
      <c r="E14" s="72"/>
    </row>
    <row r="15" spans="1:5" ht="24.75" customHeight="1">
      <c r="A15" s="71">
        <f>A14+1</f>
        <v>2006</v>
      </c>
      <c r="B15" s="72"/>
      <c r="C15" s="72"/>
      <c r="D15" s="72" t="s">
        <v>433</v>
      </c>
      <c r="E15" s="72"/>
    </row>
    <row r="16" spans="1:5" ht="24.75" customHeight="1" thickBot="1">
      <c r="A16" s="71">
        <f>A15+1</f>
        <v>2007</v>
      </c>
      <c r="B16" s="73"/>
      <c r="C16" s="73"/>
      <c r="D16" s="72" t="s">
        <v>433</v>
      </c>
      <c r="E16" s="72"/>
    </row>
    <row r="17" spans="1:5" ht="24.75" customHeight="1" thickTop="1">
      <c r="A17" s="75" t="s">
        <v>37</v>
      </c>
      <c r="B17" s="76">
        <f>ROUND(+AVERAGE(B12:B16),-1)</f>
        <v>167780</v>
      </c>
      <c r="C17" s="76">
        <f>ROUND(+AVERAGE(C12:C16),-1)</f>
        <v>48910</v>
      </c>
      <c r="D17" s="76"/>
      <c r="E17" s="76">
        <f>ROUND(+AVERAGE(E12:E16),-1)</f>
        <v>118870</v>
      </c>
    </row>
    <row r="18" ht="24.75" customHeight="1"/>
    <row r="19" spans="1:5" ht="24.75" customHeight="1">
      <c r="A19" s="296" t="s">
        <v>39</v>
      </c>
      <c r="B19" s="296"/>
      <c r="C19" s="296"/>
      <c r="D19" s="296"/>
      <c r="E19" s="296"/>
    </row>
    <row r="20" spans="1:5" ht="24.75" customHeight="1">
      <c r="A20" s="42" t="s">
        <v>34</v>
      </c>
      <c r="B20" s="42" t="s">
        <v>35</v>
      </c>
      <c r="C20" s="42" t="s">
        <v>3</v>
      </c>
      <c r="D20" s="42" t="s">
        <v>36</v>
      </c>
      <c r="E20" s="42" t="s">
        <v>556</v>
      </c>
    </row>
    <row r="21" spans="1:5" ht="24.75" customHeight="1">
      <c r="A21" s="71">
        <v>2003</v>
      </c>
      <c r="B21" s="72">
        <f>'T1'!F19</f>
        <v>227580</v>
      </c>
      <c r="C21" s="72">
        <f>'T1'!J19</f>
        <v>262780</v>
      </c>
      <c r="D21" s="72">
        <f>INPUT!C60</f>
        <v>9780</v>
      </c>
      <c r="E21" s="72">
        <f>+B21-(C21-D21)</f>
        <v>-25420</v>
      </c>
    </row>
    <row r="22" spans="1:5" ht="24.75" customHeight="1">
      <c r="A22" s="71">
        <f>A21+1</f>
        <v>2004</v>
      </c>
      <c r="B22" s="72"/>
      <c r="C22" s="72"/>
      <c r="D22" s="72"/>
      <c r="E22" s="72"/>
    </row>
    <row r="23" spans="1:5" ht="24.75" customHeight="1">
      <c r="A23" s="71">
        <f>A22+1</f>
        <v>2005</v>
      </c>
      <c r="B23" s="72"/>
      <c r="C23" s="72"/>
      <c r="D23" s="72"/>
      <c r="E23" s="72"/>
    </row>
    <row r="24" spans="1:5" ht="24.75" customHeight="1">
      <c r="A24" s="71">
        <f>A23+1</f>
        <v>2006</v>
      </c>
      <c r="B24" s="72"/>
      <c r="C24" s="72"/>
      <c r="D24" s="72"/>
      <c r="E24" s="72"/>
    </row>
    <row r="25" spans="1:5" ht="24.75" customHeight="1" thickBot="1">
      <c r="A25" s="71">
        <f>A24+1</f>
        <v>2007</v>
      </c>
      <c r="B25" s="73"/>
      <c r="C25" s="73"/>
      <c r="D25" s="74"/>
      <c r="E25" s="74"/>
    </row>
    <row r="26" spans="1:5" ht="24.75" customHeight="1" thickTop="1">
      <c r="A26" s="75" t="s">
        <v>37</v>
      </c>
      <c r="B26" s="76">
        <f>ROUND(+AVERAGE(B21:B25),-1)</f>
        <v>227580</v>
      </c>
      <c r="C26" s="76">
        <f>ROUND(+AVERAGE(C21:C25),-1)</f>
        <v>262780</v>
      </c>
      <c r="D26" s="76">
        <f>ROUND(+AVERAGE(D21:D25),-1)</f>
        <v>9780</v>
      </c>
      <c r="E26" s="76">
        <f>ROUND(+AVERAGE(E21:E25),-1)</f>
        <v>-25420</v>
      </c>
    </row>
  </sheetData>
  <sheetProtection/>
  <mergeCells count="3">
    <mergeCell ref="A1:E1"/>
    <mergeCell ref="A10:E10"/>
    <mergeCell ref="A19:E19"/>
  </mergeCells>
  <printOptions/>
  <pageMargins left="0.75" right="0.75" top="1" bottom="1" header="0.5" footer="0.5"/>
  <pageSetup fitToHeight="1" fitToWidth="1" horizontalDpi="600" verticalDpi="600" orientation="portrait" scale="91" r:id="rId1"/>
  <headerFooter alignWithMargins="0">
    <oddHeader>&amp;LRRCA 
Compact Accounting&amp;RPage &amp;P of &amp;N</oddHeader>
  </headerFooter>
</worksheet>
</file>

<file path=xl/worksheets/sheet19.xml><?xml version="1.0" encoding="utf-8"?>
<worksheet xmlns="http://schemas.openxmlformats.org/spreadsheetml/2006/main" xmlns:r="http://schemas.openxmlformats.org/officeDocument/2006/relationships">
  <sheetPr codeName="Sheet19">
    <pageSetUpPr fitToPage="1"/>
  </sheetPr>
  <dimension ref="A1:H15"/>
  <sheetViews>
    <sheetView zoomScalePageLayoutView="0" workbookViewId="0" topLeftCell="A1">
      <selection activeCell="A1" sqref="A1:G1"/>
    </sheetView>
  </sheetViews>
  <sheetFormatPr defaultColWidth="9.140625" defaultRowHeight="12.75"/>
  <cols>
    <col min="1" max="1" width="11.28125" style="0" customWidth="1"/>
    <col min="2" max="7" width="16.7109375" style="0" customWidth="1"/>
  </cols>
  <sheetData>
    <row r="1" spans="1:7" ht="12.75">
      <c r="A1" s="297" t="s">
        <v>40</v>
      </c>
      <c r="B1" s="297"/>
      <c r="C1" s="297"/>
      <c r="D1" s="297"/>
      <c r="E1" s="297"/>
      <c r="F1" s="297"/>
      <c r="G1" s="297"/>
    </row>
    <row r="2" spans="1:7" ht="49.5" customHeight="1">
      <c r="A2" s="42" t="s">
        <v>7</v>
      </c>
      <c r="B2" s="42" t="s">
        <v>41</v>
      </c>
      <c r="C2" s="42" t="s">
        <v>42</v>
      </c>
      <c r="D2" s="42" t="s">
        <v>43</v>
      </c>
      <c r="E2" s="42" t="s">
        <v>44</v>
      </c>
      <c r="F2" s="42" t="s">
        <v>45</v>
      </c>
      <c r="G2" s="42" t="s">
        <v>46</v>
      </c>
    </row>
    <row r="3" spans="1:7" ht="19.5" customHeight="1">
      <c r="A3" s="43" t="s">
        <v>14</v>
      </c>
      <c r="B3" s="47"/>
      <c r="C3" s="47"/>
      <c r="D3" s="47"/>
      <c r="E3" s="47">
        <f>+B3+C3+D3</f>
        <v>0</v>
      </c>
      <c r="F3" s="47"/>
      <c r="G3" s="47">
        <f>+E3-F3</f>
        <v>0</v>
      </c>
    </row>
    <row r="4" spans="1:7" ht="19.5" customHeight="1">
      <c r="A4" s="43" t="s">
        <v>15</v>
      </c>
      <c r="B4" s="47"/>
      <c r="C4" s="47"/>
      <c r="D4" s="47"/>
      <c r="E4" s="47">
        <f>+B4+C4+D4</f>
        <v>0</v>
      </c>
      <c r="F4" s="47"/>
      <c r="G4" s="47">
        <f>+E4-F4</f>
        <v>0</v>
      </c>
    </row>
    <row r="5" spans="1:7" ht="19.5" customHeight="1">
      <c r="A5" s="43" t="s">
        <v>17</v>
      </c>
      <c r="B5" s="47"/>
      <c r="C5" s="47"/>
      <c r="D5" s="47"/>
      <c r="E5" s="47">
        <f>+B5+C5+D5</f>
        <v>0</v>
      </c>
      <c r="F5" s="47"/>
      <c r="G5" s="47">
        <f>+E5-F5</f>
        <v>0</v>
      </c>
    </row>
    <row r="6" spans="1:7" ht="19.5" customHeight="1">
      <c r="A6" s="43" t="s">
        <v>22</v>
      </c>
      <c r="B6" s="47"/>
      <c r="C6" s="47"/>
      <c r="D6" s="47"/>
      <c r="E6" s="47">
        <f>+B6+C6+D6</f>
        <v>0</v>
      </c>
      <c r="F6" s="47"/>
      <c r="G6" s="47">
        <f>+E6-F6</f>
        <v>0</v>
      </c>
    </row>
    <row r="8" spans="1:7" ht="12.75">
      <c r="A8" s="297" t="s">
        <v>47</v>
      </c>
      <c r="B8" s="297"/>
      <c r="C8" s="297"/>
      <c r="D8" s="297"/>
      <c r="E8" s="297"/>
      <c r="F8" s="297"/>
      <c r="G8" s="297"/>
    </row>
    <row r="9" spans="1:8" ht="54.75" customHeight="1">
      <c r="A9" s="42" t="s">
        <v>7</v>
      </c>
      <c r="B9" s="42" t="s">
        <v>41</v>
      </c>
      <c r="C9" s="42" t="s">
        <v>42</v>
      </c>
      <c r="D9" s="290" t="s">
        <v>554</v>
      </c>
      <c r="E9" s="42" t="s">
        <v>43</v>
      </c>
      <c r="F9" s="42" t="s">
        <v>555</v>
      </c>
      <c r="G9" s="42" t="s">
        <v>45</v>
      </c>
      <c r="H9" s="42" t="s">
        <v>46</v>
      </c>
    </row>
    <row r="10" spans="1:8" ht="19.5" customHeight="1">
      <c r="A10" s="43" t="s">
        <v>15</v>
      </c>
      <c r="B10" s="47"/>
      <c r="C10" s="47"/>
      <c r="D10" s="2"/>
      <c r="E10" s="47"/>
      <c r="F10" s="47">
        <f aca="true" t="shared" si="0" ref="F10:F15">+B10+C10+D10+E10</f>
        <v>0</v>
      </c>
      <c r="G10" s="47"/>
      <c r="H10" s="47">
        <f aca="true" t="shared" si="1" ref="H10:H15">+F10-G10</f>
        <v>0</v>
      </c>
    </row>
    <row r="11" spans="1:8" ht="19.5" customHeight="1">
      <c r="A11" s="43" t="s">
        <v>17</v>
      </c>
      <c r="B11" s="47"/>
      <c r="C11" s="47"/>
      <c r="D11" s="2"/>
      <c r="E11" s="47"/>
      <c r="F11" s="47">
        <f t="shared" si="0"/>
        <v>0</v>
      </c>
      <c r="G11" s="47"/>
      <c r="H11" s="47">
        <f t="shared" si="1"/>
        <v>0</v>
      </c>
    </row>
    <row r="12" spans="1:8" ht="19.5" customHeight="1">
      <c r="A12" s="43" t="s">
        <v>19</v>
      </c>
      <c r="B12" s="47"/>
      <c r="C12" s="47"/>
      <c r="D12" s="2"/>
      <c r="E12" s="47"/>
      <c r="F12" s="47">
        <f t="shared" si="0"/>
        <v>0</v>
      </c>
      <c r="G12" s="47"/>
      <c r="H12" s="47">
        <f t="shared" si="1"/>
        <v>0</v>
      </c>
    </row>
    <row r="13" spans="1:8" ht="19.5" customHeight="1">
      <c r="A13" s="43" t="s">
        <v>22</v>
      </c>
      <c r="B13" s="47"/>
      <c r="C13" s="47"/>
      <c r="D13" s="2"/>
      <c r="E13" s="47"/>
      <c r="F13" s="47">
        <f t="shared" si="0"/>
        <v>0</v>
      </c>
      <c r="G13" s="47"/>
      <c r="H13" s="47">
        <f t="shared" si="1"/>
        <v>0</v>
      </c>
    </row>
    <row r="14" spans="1:8" ht="19.5" customHeight="1">
      <c r="A14" s="43" t="s">
        <v>23</v>
      </c>
      <c r="B14" s="47"/>
      <c r="C14" s="47"/>
      <c r="D14" s="2"/>
      <c r="E14" s="47"/>
      <c r="F14" s="47">
        <f t="shared" si="0"/>
        <v>0</v>
      </c>
      <c r="G14" s="47"/>
      <c r="H14" s="47">
        <f t="shared" si="1"/>
        <v>0</v>
      </c>
    </row>
    <row r="15" spans="1:8" ht="19.5" customHeight="1">
      <c r="A15" s="43" t="s">
        <v>24</v>
      </c>
      <c r="B15" s="47"/>
      <c r="C15" s="47"/>
      <c r="D15" s="2"/>
      <c r="E15" s="47"/>
      <c r="F15" s="47">
        <f t="shared" si="0"/>
        <v>0</v>
      </c>
      <c r="G15" s="47"/>
      <c r="H15" s="47">
        <f t="shared" si="1"/>
        <v>0</v>
      </c>
    </row>
  </sheetData>
  <sheetProtection/>
  <mergeCells count="2">
    <mergeCell ref="A1:G1"/>
    <mergeCell ref="A8:G8"/>
  </mergeCells>
  <printOptions/>
  <pageMargins left="0.75" right="0.75" top="1" bottom="1" header="0.5" footer="0.5"/>
  <pageSetup fitToHeight="1" fitToWidth="1" horizontalDpi="600" verticalDpi="600" orientation="landscape" r:id="rId1"/>
  <headerFooter alignWithMargins="0">
    <oddHeader>&amp;LRRCA 
Compact Accounting&amp;RPage &amp;P of &amp;N</oddHeader>
  </headerFooter>
</worksheet>
</file>

<file path=xl/worksheets/sheet2.xml><?xml version="1.0" encoding="utf-8"?>
<worksheet xmlns="http://schemas.openxmlformats.org/spreadsheetml/2006/main" xmlns:r="http://schemas.openxmlformats.org/officeDocument/2006/relationships">
  <sheetPr codeName="Sheet2">
    <pageSetUpPr fitToPage="1"/>
  </sheetPr>
  <dimension ref="A1:J276"/>
  <sheetViews>
    <sheetView zoomScalePageLayoutView="0" workbookViewId="0" topLeftCell="A1">
      <selection activeCell="D20" sqref="D20"/>
    </sheetView>
  </sheetViews>
  <sheetFormatPr defaultColWidth="9.140625" defaultRowHeight="12.75"/>
  <cols>
    <col min="1" max="1" width="16.57421875" style="0" customWidth="1"/>
    <col min="2" max="2" width="63.7109375" style="0" customWidth="1"/>
    <col min="3" max="3" width="8.421875" style="19" customWidth="1"/>
  </cols>
  <sheetData>
    <row r="1" spans="1:3" ht="12.75">
      <c r="A1" s="5" t="s">
        <v>96</v>
      </c>
      <c r="B1" s="5"/>
      <c r="C1" s="9">
        <v>2003</v>
      </c>
    </row>
    <row r="3" spans="1:2" ht="12.75">
      <c r="A3" s="5" t="s">
        <v>97</v>
      </c>
      <c r="B3" s="14"/>
    </row>
    <row r="4" spans="1:3" ht="12.75">
      <c r="A4" s="56" t="s">
        <v>83</v>
      </c>
      <c r="B4" s="57" t="s">
        <v>217</v>
      </c>
      <c r="C4" s="144">
        <f>GM_output!B9</f>
        <v>14023</v>
      </c>
    </row>
    <row r="5" spans="1:3" ht="12.75">
      <c r="A5" s="56" t="s">
        <v>84</v>
      </c>
      <c r="B5" s="57" t="s">
        <v>218</v>
      </c>
      <c r="C5" s="144">
        <f>GM_output!C9</f>
        <v>17</v>
      </c>
    </row>
    <row r="6" spans="1:3" ht="12.75">
      <c r="A6" s="56"/>
      <c r="B6" s="57" t="s">
        <v>221</v>
      </c>
      <c r="C6" s="144">
        <f>GM_output!D9</f>
        <v>1402</v>
      </c>
    </row>
    <row r="7" spans="1:3" ht="12.75">
      <c r="A7" t="s">
        <v>85</v>
      </c>
      <c r="B7" s="2" t="s">
        <v>217</v>
      </c>
      <c r="C7" s="145">
        <f>GM_output!B4</f>
        <v>242</v>
      </c>
    </row>
    <row r="8" spans="1:3" ht="12.75">
      <c r="B8" s="2" t="s">
        <v>218</v>
      </c>
      <c r="C8" s="145">
        <f>GM_output!C4</f>
        <v>100</v>
      </c>
    </row>
    <row r="9" spans="2:3" ht="12.75">
      <c r="B9" s="2" t="s">
        <v>221</v>
      </c>
      <c r="C9" s="145">
        <f>GM_output!D4</f>
        <v>508</v>
      </c>
    </row>
    <row r="10" spans="1:3" ht="12.75">
      <c r="A10" s="56" t="s">
        <v>86</v>
      </c>
      <c r="B10" s="57" t="s">
        <v>217</v>
      </c>
      <c r="C10" s="144">
        <f>GM_output!B6</f>
        <v>265</v>
      </c>
    </row>
    <row r="11" spans="1:3" ht="12.75">
      <c r="A11" s="56" t="s">
        <v>84</v>
      </c>
      <c r="B11" s="57" t="s">
        <v>218</v>
      </c>
      <c r="C11" s="144">
        <f>GM_output!C6</f>
        <v>0</v>
      </c>
    </row>
    <row r="12" spans="1:3" ht="12.75">
      <c r="A12" s="56"/>
      <c r="B12" s="57" t="s">
        <v>221</v>
      </c>
      <c r="C12" s="144">
        <f>GM_output!D6</f>
        <v>3338</v>
      </c>
    </row>
    <row r="13" spans="1:3" ht="12.75">
      <c r="A13" s="19" t="s">
        <v>87</v>
      </c>
      <c r="B13" s="9" t="s">
        <v>217</v>
      </c>
      <c r="C13" s="145">
        <f>GM_output!B17</f>
        <v>59</v>
      </c>
    </row>
    <row r="14" spans="1:3" ht="12.75">
      <c r="A14" s="19" t="s">
        <v>84</v>
      </c>
      <c r="B14" s="9" t="s">
        <v>218</v>
      </c>
      <c r="C14" s="145">
        <f>GM_output!C17</f>
        <v>0</v>
      </c>
    </row>
    <row r="15" spans="1:3" ht="12.75">
      <c r="A15" s="19"/>
      <c r="B15" s="9" t="s">
        <v>221</v>
      </c>
      <c r="C15" s="145">
        <f>GM_output!D17</f>
        <v>3419</v>
      </c>
    </row>
    <row r="16" spans="1:3" ht="12.75">
      <c r="A16" s="56" t="s">
        <v>236</v>
      </c>
      <c r="B16" s="57" t="s">
        <v>217</v>
      </c>
      <c r="C16" s="144">
        <f>GM_output!B19+GM_output!B21</f>
        <v>12115</v>
      </c>
    </row>
    <row r="17" spans="1:3" ht="12.75">
      <c r="A17" s="56" t="s">
        <v>84</v>
      </c>
      <c r="B17" s="57" t="s">
        <v>218</v>
      </c>
      <c r="C17" s="144">
        <f>GM_output!C19+GM_output!C21</f>
        <v>5351</v>
      </c>
    </row>
    <row r="18" spans="1:3" ht="12.75">
      <c r="A18" s="56"/>
      <c r="B18" s="57" t="s">
        <v>221</v>
      </c>
      <c r="C18" s="144">
        <f>GM_output!D19+GM_output!D21</f>
        <v>1347</v>
      </c>
    </row>
    <row r="19" spans="1:3" ht="12.75">
      <c r="A19" t="s">
        <v>88</v>
      </c>
      <c r="B19" s="2" t="s">
        <v>217</v>
      </c>
      <c r="C19" s="145">
        <f>GM_output!B8+GM_output!B23</f>
        <v>37</v>
      </c>
    </row>
    <row r="20" spans="1:3" ht="12.75">
      <c r="B20" s="2" t="s">
        <v>218</v>
      </c>
      <c r="C20" s="145">
        <f>GM_output!C8+GM_output!C23</f>
        <v>0</v>
      </c>
    </row>
    <row r="21" spans="2:3" ht="12.75">
      <c r="B21" s="2" t="s">
        <v>221</v>
      </c>
      <c r="C21" s="145">
        <f>GM_output!D8+GM_output!D23</f>
        <v>85647</v>
      </c>
    </row>
    <row r="22" spans="1:3" ht="12.75">
      <c r="A22" s="56" t="s">
        <v>89</v>
      </c>
      <c r="B22" s="57" t="s">
        <v>217</v>
      </c>
      <c r="C22" s="144">
        <f>GM_output!B7</f>
        <v>0</v>
      </c>
    </row>
    <row r="23" spans="1:3" ht="12.75">
      <c r="A23" s="56" t="s">
        <v>84</v>
      </c>
      <c r="B23" s="57" t="s">
        <v>218</v>
      </c>
      <c r="C23" s="144">
        <f>GM_output!C7</f>
        <v>0</v>
      </c>
    </row>
    <row r="24" spans="1:3" ht="12.75">
      <c r="A24" s="56"/>
      <c r="B24" s="57" t="s">
        <v>221</v>
      </c>
      <c r="C24" s="144">
        <f>GM_output!D7</f>
        <v>1391</v>
      </c>
    </row>
    <row r="25" spans="1:3" ht="12.75">
      <c r="A25" t="s">
        <v>90</v>
      </c>
      <c r="B25" s="2" t="s">
        <v>217</v>
      </c>
      <c r="C25" s="145">
        <f>GM_output!B16+GM_output!B20</f>
        <v>0</v>
      </c>
    </row>
    <row r="26" spans="1:3" ht="12.75">
      <c r="B26" s="2" t="s">
        <v>218</v>
      </c>
      <c r="C26" s="145">
        <f>GM_output!C16+GM_output!C20</f>
        <v>0</v>
      </c>
    </row>
    <row r="27" spans="2:3" ht="12.75">
      <c r="B27" s="2" t="s">
        <v>221</v>
      </c>
      <c r="C27" s="145">
        <f>GM_output!D16+GM_output!D20</f>
        <v>7815</v>
      </c>
    </row>
    <row r="28" spans="1:3" ht="12.75">
      <c r="A28" s="56" t="s">
        <v>91</v>
      </c>
      <c r="B28" s="57" t="s">
        <v>217</v>
      </c>
      <c r="C28" s="144">
        <f>GM_output!B14+GM_output!B25</f>
        <v>0</v>
      </c>
    </row>
    <row r="29" spans="1:3" ht="12.75">
      <c r="A29" s="56" t="s">
        <v>84</v>
      </c>
      <c r="B29" s="57" t="s">
        <v>218</v>
      </c>
      <c r="C29" s="144">
        <f>GM_output!C14+GM_output!C25</f>
        <v>0</v>
      </c>
    </row>
    <row r="30" spans="1:3" ht="12.75">
      <c r="A30" s="56"/>
      <c r="B30" s="57" t="s">
        <v>221</v>
      </c>
      <c r="C30" s="144">
        <f>GM_output!D14+GM_output!D25</f>
        <v>21139</v>
      </c>
    </row>
    <row r="31" spans="1:3" ht="12.75">
      <c r="A31" t="s">
        <v>92</v>
      </c>
      <c r="B31" s="2" t="s">
        <v>217</v>
      </c>
      <c r="C31" s="145">
        <f>GM_output!B5</f>
        <v>0</v>
      </c>
    </row>
    <row r="32" spans="1:3" ht="12.75">
      <c r="B32" s="2" t="s">
        <v>218</v>
      </c>
      <c r="C32" s="145">
        <f>GM_output!C5</f>
        <v>274</v>
      </c>
    </row>
    <row r="33" spans="2:3" ht="12.75">
      <c r="B33" s="2" t="s">
        <v>221</v>
      </c>
      <c r="C33" s="145">
        <f>GM_output!D5</f>
        <v>777</v>
      </c>
    </row>
    <row r="34" spans="1:3" ht="12.75">
      <c r="A34" s="56" t="s">
        <v>93</v>
      </c>
      <c r="B34" s="57" t="s">
        <v>217</v>
      </c>
      <c r="C34" s="144">
        <f>GM_output!B18</f>
        <v>0</v>
      </c>
    </row>
    <row r="35" spans="1:3" ht="12.75">
      <c r="A35" s="56" t="s">
        <v>84</v>
      </c>
      <c r="B35" s="57" t="s">
        <v>218</v>
      </c>
      <c r="C35" s="144">
        <f>GM_output!C18</f>
        <v>-274</v>
      </c>
    </row>
    <row r="36" spans="1:4" ht="12.75">
      <c r="A36" s="56"/>
      <c r="B36" s="57" t="s">
        <v>221</v>
      </c>
      <c r="C36" s="144">
        <f>GM_output!D18</f>
        <v>500</v>
      </c>
      <c r="D36" s="84"/>
    </row>
    <row r="37" spans="1:3" ht="12.75">
      <c r="A37" t="s">
        <v>94</v>
      </c>
      <c r="B37" s="2" t="s">
        <v>217</v>
      </c>
      <c r="C37" s="145">
        <f>GM_output!B15+GM_output!B22</f>
        <v>0</v>
      </c>
    </row>
    <row r="38" spans="1:3" ht="12.75">
      <c r="B38" s="2" t="s">
        <v>218</v>
      </c>
      <c r="C38" s="145">
        <f>GM_output!C15+GM_output!C22</f>
        <v>1679</v>
      </c>
    </row>
    <row r="39" spans="2:4" ht="12.75">
      <c r="B39" s="2" t="s">
        <v>221</v>
      </c>
      <c r="C39" s="145">
        <f>GM_output!D15+GM_output!D22</f>
        <v>0</v>
      </c>
      <c r="D39" s="19"/>
    </row>
    <row r="40" spans="1:3" ht="12.75">
      <c r="A40" s="56" t="s">
        <v>95</v>
      </c>
      <c r="B40" s="57" t="s">
        <v>217</v>
      </c>
      <c r="C40" s="144">
        <f>GM_output!B29</f>
        <v>132</v>
      </c>
    </row>
    <row r="41" spans="1:3" ht="12.75">
      <c r="A41" s="67" t="s">
        <v>84</v>
      </c>
      <c r="B41" s="68" t="s">
        <v>218</v>
      </c>
      <c r="C41" s="144">
        <f>GM_output!C29</f>
        <v>110</v>
      </c>
    </row>
    <row r="42" spans="1:3" ht="12.75">
      <c r="A42" s="67"/>
      <c r="B42" s="68" t="s">
        <v>219</v>
      </c>
      <c r="C42" s="144">
        <f>GM_output!D30</f>
        <v>74323</v>
      </c>
    </row>
    <row r="43" spans="1:3" ht="12.75">
      <c r="A43" s="67"/>
      <c r="B43" s="68" t="s">
        <v>220</v>
      </c>
      <c r="C43" s="144">
        <f>GM_output!D13</f>
        <v>2559</v>
      </c>
    </row>
    <row r="45" spans="1:2" ht="12.75">
      <c r="A45" s="5" t="s">
        <v>98</v>
      </c>
      <c r="B45" s="14"/>
    </row>
    <row r="46" spans="1:3" ht="12.75">
      <c r="A46" s="56" t="s">
        <v>83</v>
      </c>
      <c r="B46" s="57" t="s">
        <v>182</v>
      </c>
      <c r="C46" s="144">
        <f>GM_output!E9</f>
        <v>0</v>
      </c>
    </row>
    <row r="47" spans="1:3" ht="12.75">
      <c r="A47" t="s">
        <v>85</v>
      </c>
      <c r="B47" s="2" t="s">
        <v>182</v>
      </c>
      <c r="C47" s="144">
        <f>GM_output!E4</f>
        <v>0</v>
      </c>
    </row>
    <row r="48" spans="1:3" ht="12.75">
      <c r="A48" s="56" t="s">
        <v>86</v>
      </c>
      <c r="B48" s="57" t="s">
        <v>182</v>
      </c>
      <c r="C48" s="144">
        <f>GM_output!E6</f>
        <v>0</v>
      </c>
    </row>
    <row r="49" spans="1:3" ht="12.75">
      <c r="A49" t="s">
        <v>87</v>
      </c>
      <c r="B49" s="2" t="s">
        <v>182</v>
      </c>
      <c r="C49" s="144">
        <f>GM_output!E17</f>
        <v>0</v>
      </c>
    </row>
    <row r="50" spans="1:3" ht="12.75">
      <c r="A50" s="56" t="s">
        <v>236</v>
      </c>
      <c r="B50" s="57" t="s">
        <v>182</v>
      </c>
      <c r="C50" s="144">
        <f>GM_output!E19+GM_output!E21</f>
        <v>0</v>
      </c>
    </row>
    <row r="51" spans="1:3" ht="12.75">
      <c r="A51" t="s">
        <v>88</v>
      </c>
      <c r="B51" s="2" t="s">
        <v>182</v>
      </c>
      <c r="C51" s="144">
        <f>GM_output!E8+GM_output!E23</f>
        <v>0</v>
      </c>
    </row>
    <row r="52" spans="1:3" ht="12.75">
      <c r="A52" s="56" t="s">
        <v>89</v>
      </c>
      <c r="B52" s="57" t="s">
        <v>182</v>
      </c>
      <c r="C52" s="144">
        <f>GM_output!E7</f>
        <v>0</v>
      </c>
    </row>
    <row r="53" spans="1:3" ht="12.75">
      <c r="A53" t="s">
        <v>90</v>
      </c>
      <c r="B53" s="2" t="s">
        <v>182</v>
      </c>
      <c r="C53" s="144">
        <f>GM_output!E16+GM_output!E20</f>
        <v>20</v>
      </c>
    </row>
    <row r="54" spans="1:3" ht="12.75">
      <c r="A54" s="56" t="s">
        <v>91</v>
      </c>
      <c r="B54" s="57" t="s">
        <v>182</v>
      </c>
      <c r="C54" s="144">
        <f>GM_output!E14+GM_output!E25</f>
        <v>9423</v>
      </c>
    </row>
    <row r="55" spans="1:3" ht="12.75">
      <c r="A55" t="s">
        <v>92</v>
      </c>
      <c r="B55" s="2" t="s">
        <v>182</v>
      </c>
      <c r="C55" s="144">
        <f>GM_output!E5</f>
        <v>0</v>
      </c>
    </row>
    <row r="56" spans="1:3" ht="12.75">
      <c r="A56" s="56" t="s">
        <v>93</v>
      </c>
      <c r="B56" s="57" t="s">
        <v>182</v>
      </c>
      <c r="C56" s="144">
        <f>GM_output!E18</f>
        <v>0</v>
      </c>
    </row>
    <row r="57" spans="1:3" ht="12.75">
      <c r="A57" t="s">
        <v>94</v>
      </c>
      <c r="B57" s="17" t="s">
        <v>182</v>
      </c>
      <c r="C57" s="144">
        <f>GM_output!E15+GM_output!E22</f>
        <v>0</v>
      </c>
    </row>
    <row r="58" spans="1:3" ht="12.75">
      <c r="A58" s="56" t="s">
        <v>95</v>
      </c>
      <c r="B58" s="57" t="s">
        <v>284</v>
      </c>
      <c r="C58" s="144">
        <f>GM_output!E30</f>
        <v>337</v>
      </c>
    </row>
    <row r="59" spans="1:3" ht="12.75">
      <c r="A59" s="56"/>
      <c r="B59" s="57" t="s">
        <v>285</v>
      </c>
      <c r="C59" s="144">
        <f>GM_output!E13</f>
        <v>0</v>
      </c>
    </row>
    <row r="60" spans="2:3" ht="12.75">
      <c r="B60" s="9" t="s">
        <v>4</v>
      </c>
      <c r="C60" s="144">
        <f>SUM(C46:C59)</f>
        <v>9780</v>
      </c>
    </row>
    <row r="61" spans="1:2" ht="12.75">
      <c r="A61" s="5" t="s">
        <v>99</v>
      </c>
      <c r="B61" s="14" t="s">
        <v>84</v>
      </c>
    </row>
    <row r="62" spans="1:4" ht="12.75">
      <c r="A62" s="56" t="s">
        <v>83</v>
      </c>
      <c r="B62" s="148" t="s">
        <v>515</v>
      </c>
      <c r="C62" s="144">
        <v>2410</v>
      </c>
      <c r="D62" s="19"/>
    </row>
    <row r="63" spans="1:3" ht="12.75">
      <c r="A63" s="56"/>
      <c r="B63" s="148" t="s">
        <v>237</v>
      </c>
      <c r="C63" s="144">
        <v>0</v>
      </c>
    </row>
    <row r="64" spans="1:3" ht="12.75">
      <c r="A64" s="56"/>
      <c r="B64" s="148" t="s">
        <v>195</v>
      </c>
      <c r="C64" s="144">
        <v>0</v>
      </c>
    </row>
    <row r="65" spans="1:3" ht="12.75">
      <c r="A65" t="s">
        <v>85</v>
      </c>
      <c r="B65" s="149" t="s">
        <v>515</v>
      </c>
      <c r="C65" s="144">
        <v>0</v>
      </c>
    </row>
    <row r="66" spans="2:3" ht="12.75">
      <c r="B66" s="149" t="s">
        <v>237</v>
      </c>
      <c r="C66" s="144">
        <v>0</v>
      </c>
    </row>
    <row r="67" spans="1:3" ht="12.75">
      <c r="B67" s="149" t="s">
        <v>195</v>
      </c>
      <c r="C67" s="144">
        <v>0</v>
      </c>
    </row>
    <row r="68" spans="1:3" ht="12.75">
      <c r="B68" s="149" t="s">
        <v>239</v>
      </c>
      <c r="C68" s="144">
        <v>0</v>
      </c>
    </row>
    <row r="69" spans="2:3" ht="12.75">
      <c r="B69" s="149" t="s">
        <v>240</v>
      </c>
      <c r="C69" s="144">
        <v>0</v>
      </c>
    </row>
    <row r="70" spans="1:3" ht="12.75">
      <c r="B70" s="149" t="s">
        <v>197</v>
      </c>
      <c r="C70" s="144">
        <v>0</v>
      </c>
    </row>
    <row r="71" spans="2:3" ht="12.75">
      <c r="B71" s="149" t="s">
        <v>238</v>
      </c>
      <c r="C71" s="144">
        <v>0</v>
      </c>
    </row>
    <row r="72" spans="1:3" ht="12.75">
      <c r="B72" s="149" t="s">
        <v>516</v>
      </c>
      <c r="C72" s="144">
        <v>0</v>
      </c>
    </row>
    <row r="73" spans="1:3" ht="12.75">
      <c r="B73" s="149" t="s">
        <v>196</v>
      </c>
      <c r="C73" s="144">
        <v>0</v>
      </c>
    </row>
    <row r="74" spans="1:3" ht="12.75">
      <c r="A74" s="56" t="s">
        <v>86</v>
      </c>
      <c r="B74" s="148" t="s">
        <v>515</v>
      </c>
      <c r="C74" s="144">
        <v>0</v>
      </c>
    </row>
    <row r="75" spans="1:3" ht="12.75">
      <c r="A75" s="56"/>
      <c r="B75" s="148" t="s">
        <v>237</v>
      </c>
      <c r="C75" s="144">
        <v>0</v>
      </c>
    </row>
    <row r="76" spans="1:3" ht="12.75">
      <c r="A76" s="56"/>
      <c r="B76" s="148" t="s">
        <v>195</v>
      </c>
      <c r="C76" s="144">
        <v>0</v>
      </c>
    </row>
    <row r="77" spans="1:3" ht="12.75">
      <c r="A77" s="56"/>
      <c r="B77" s="148" t="s">
        <v>238</v>
      </c>
      <c r="C77" s="144">
        <v>587</v>
      </c>
    </row>
    <row r="78" spans="1:3" ht="12.75">
      <c r="A78" s="56" t="s">
        <v>84</v>
      </c>
      <c r="B78" s="148" t="s">
        <v>516</v>
      </c>
      <c r="C78" s="144">
        <v>70.2</v>
      </c>
    </row>
    <row r="79" spans="1:3" ht="12.75">
      <c r="A79" s="56" t="s">
        <v>84</v>
      </c>
      <c r="B79" s="148" t="s">
        <v>196</v>
      </c>
      <c r="C79" s="144">
        <v>0</v>
      </c>
    </row>
    <row r="80" spans="1:3" ht="12.75">
      <c r="A80" t="s">
        <v>87</v>
      </c>
      <c r="B80" s="149" t="s">
        <v>238</v>
      </c>
      <c r="C80" s="144">
        <v>0</v>
      </c>
    </row>
    <row r="81" spans="2:3" ht="12.75">
      <c r="B81" s="149" t="s">
        <v>516</v>
      </c>
      <c r="C81" s="144">
        <v>0</v>
      </c>
    </row>
    <row r="82" spans="1:3" ht="12.75">
      <c r="B82" s="149" t="s">
        <v>196</v>
      </c>
      <c r="C82" s="144">
        <v>0</v>
      </c>
    </row>
    <row r="83" spans="1:3" ht="12.75">
      <c r="A83" s="56" t="s">
        <v>236</v>
      </c>
      <c r="B83" s="148" t="s">
        <v>515</v>
      </c>
      <c r="C83" s="144">
        <v>996</v>
      </c>
    </row>
    <row r="84" spans="1:3" ht="12.75">
      <c r="A84" s="56"/>
      <c r="B84" s="148" t="s">
        <v>237</v>
      </c>
      <c r="C84" s="144">
        <v>0</v>
      </c>
    </row>
    <row r="85" spans="1:3" ht="12.75">
      <c r="A85" s="56" t="s">
        <v>84</v>
      </c>
      <c r="B85" s="148" t="s">
        <v>195</v>
      </c>
      <c r="C85" s="144">
        <v>0</v>
      </c>
    </row>
    <row r="86" spans="1:3" ht="12.75">
      <c r="A86" s="56"/>
      <c r="B86" s="148" t="s">
        <v>239</v>
      </c>
      <c r="C86" s="144">
        <v>0</v>
      </c>
    </row>
    <row r="87" spans="1:3" ht="12.75">
      <c r="A87" s="56" t="s">
        <v>84</v>
      </c>
      <c r="B87" s="148" t="s">
        <v>240</v>
      </c>
      <c r="C87" s="144">
        <v>39</v>
      </c>
    </row>
    <row r="88" spans="1:3" ht="12.75">
      <c r="A88" s="56" t="s">
        <v>84</v>
      </c>
      <c r="B88" s="148" t="s">
        <v>197</v>
      </c>
      <c r="C88" s="144">
        <v>0</v>
      </c>
    </row>
    <row r="89" spans="1:3" ht="12.75">
      <c r="A89" s="56"/>
      <c r="B89" s="148" t="s">
        <v>238</v>
      </c>
      <c r="C89" s="144">
        <v>0</v>
      </c>
    </row>
    <row r="90" spans="1:3" ht="12.75">
      <c r="A90" s="56" t="s">
        <v>84</v>
      </c>
      <c r="B90" s="148" t="s">
        <v>516</v>
      </c>
      <c r="C90" s="144">
        <v>0</v>
      </c>
    </row>
    <row r="91" spans="1:3" ht="12.75">
      <c r="A91" s="56"/>
      <c r="B91" s="148" t="s">
        <v>196</v>
      </c>
      <c r="C91" s="144">
        <v>0</v>
      </c>
    </row>
    <row r="92" spans="1:3" ht="12.75">
      <c r="A92" t="s">
        <v>88</v>
      </c>
      <c r="B92" s="149" t="s">
        <v>238</v>
      </c>
      <c r="C92" s="144">
        <v>0</v>
      </c>
    </row>
    <row r="93" spans="2:3" ht="12.75">
      <c r="B93" s="149" t="s">
        <v>516</v>
      </c>
      <c r="C93" s="144">
        <v>3.09</v>
      </c>
    </row>
    <row r="94" spans="1:3" ht="12.75">
      <c r="B94" s="149" t="s">
        <v>196</v>
      </c>
      <c r="C94" s="144">
        <v>0</v>
      </c>
    </row>
    <row r="95" spans="1:3" ht="12.75">
      <c r="A95" s="56" t="s">
        <v>89</v>
      </c>
      <c r="B95" s="148" t="s">
        <v>239</v>
      </c>
      <c r="C95" s="144">
        <v>0</v>
      </c>
    </row>
    <row r="96" spans="1:3" ht="12.75">
      <c r="A96" s="56"/>
      <c r="B96" s="148" t="s">
        <v>240</v>
      </c>
      <c r="C96" s="144">
        <v>0</v>
      </c>
    </row>
    <row r="97" spans="1:3" ht="12.75">
      <c r="A97" s="56" t="s">
        <v>84</v>
      </c>
      <c r="B97" s="148" t="s">
        <v>197</v>
      </c>
      <c r="C97" s="144">
        <v>0</v>
      </c>
    </row>
    <row r="98" spans="1:3" ht="12.75">
      <c r="A98" s="56"/>
      <c r="B98" s="148" t="s">
        <v>238</v>
      </c>
      <c r="C98" s="144">
        <v>0</v>
      </c>
    </row>
    <row r="99" spans="1:3" ht="12.75">
      <c r="A99" s="56" t="s">
        <v>84</v>
      </c>
      <c r="B99" s="148" t="s">
        <v>516</v>
      </c>
      <c r="C99" s="144">
        <v>0</v>
      </c>
    </row>
    <row r="100" spans="1:3" ht="12.75">
      <c r="A100" s="56" t="s">
        <v>84</v>
      </c>
      <c r="B100" s="148" t="s">
        <v>196</v>
      </c>
      <c r="C100" s="144">
        <v>0</v>
      </c>
    </row>
    <row r="101" spans="1:3" ht="12.75">
      <c r="A101" t="s">
        <v>90</v>
      </c>
      <c r="B101" s="149" t="s">
        <v>238</v>
      </c>
      <c r="C101" s="144">
        <v>0</v>
      </c>
    </row>
    <row r="102" spans="2:3" ht="12.75">
      <c r="B102" s="149" t="s">
        <v>516</v>
      </c>
      <c r="C102" s="144">
        <v>341</v>
      </c>
    </row>
    <row r="103" spans="1:3" ht="12.75">
      <c r="B103" s="149" t="s">
        <v>196</v>
      </c>
      <c r="C103" s="144">
        <v>0</v>
      </c>
    </row>
    <row r="104" spans="1:3" ht="12.75">
      <c r="A104" s="56" t="s">
        <v>91</v>
      </c>
      <c r="B104" s="148" t="s">
        <v>238</v>
      </c>
      <c r="C104" s="144">
        <v>0</v>
      </c>
    </row>
    <row r="105" spans="1:3" ht="12.75">
      <c r="A105" s="56" t="s">
        <v>84</v>
      </c>
      <c r="B105" s="148" t="s">
        <v>516</v>
      </c>
      <c r="C105" s="144">
        <v>291</v>
      </c>
    </row>
    <row r="106" spans="1:3" ht="12.75">
      <c r="A106" s="56" t="s">
        <v>84</v>
      </c>
      <c r="B106" s="148" t="s">
        <v>196</v>
      </c>
      <c r="C106" s="144">
        <v>0</v>
      </c>
    </row>
    <row r="107" spans="1:3" ht="12.75">
      <c r="A107" s="56"/>
      <c r="B107" s="148" t="s">
        <v>241</v>
      </c>
      <c r="C107" s="144">
        <v>0</v>
      </c>
    </row>
    <row r="108" spans="1:3" ht="12.75">
      <c r="A108" s="56" t="s">
        <v>84</v>
      </c>
      <c r="B108" s="148" t="s">
        <v>261</v>
      </c>
      <c r="C108" s="144">
        <v>106</v>
      </c>
    </row>
    <row r="109" spans="1:3" ht="12.75">
      <c r="A109" s="56" t="s">
        <v>84</v>
      </c>
      <c r="B109" s="148" t="s">
        <v>198</v>
      </c>
      <c r="C109" s="144">
        <v>0</v>
      </c>
    </row>
    <row r="110" spans="1:3" ht="12.75">
      <c r="A110" t="s">
        <v>92</v>
      </c>
      <c r="B110" s="149" t="s">
        <v>515</v>
      </c>
      <c r="C110" s="144">
        <v>0</v>
      </c>
    </row>
    <row r="111" spans="2:3" ht="12.75">
      <c r="B111" s="149" t="s">
        <v>237</v>
      </c>
      <c r="C111" s="144">
        <v>0</v>
      </c>
    </row>
    <row r="112" spans="1:3" ht="12.75">
      <c r="B112" s="149" t="s">
        <v>195</v>
      </c>
      <c r="C112" s="144">
        <v>0</v>
      </c>
    </row>
    <row r="113" spans="2:3" ht="12.75">
      <c r="B113" s="149" t="s">
        <v>239</v>
      </c>
      <c r="C113" s="144">
        <v>0</v>
      </c>
    </row>
    <row r="114" spans="1:3" ht="12.75">
      <c r="B114" s="149" t="s">
        <v>240</v>
      </c>
      <c r="C114" s="144">
        <v>26</v>
      </c>
    </row>
    <row r="115" spans="1:3" ht="12.75">
      <c r="B115" s="149" t="s">
        <v>197</v>
      </c>
      <c r="C115" s="144">
        <v>0</v>
      </c>
    </row>
    <row r="116" spans="2:3" ht="12.75">
      <c r="B116" s="149" t="s">
        <v>238</v>
      </c>
      <c r="C116" s="144">
        <v>0</v>
      </c>
    </row>
    <row r="117" spans="1:3" ht="12.75">
      <c r="B117" s="149" t="s">
        <v>516</v>
      </c>
      <c r="C117" s="144">
        <v>0</v>
      </c>
    </row>
    <row r="118" spans="1:3" ht="12.75">
      <c r="B118" s="149" t="s">
        <v>196</v>
      </c>
      <c r="C118" s="144">
        <v>0</v>
      </c>
    </row>
    <row r="119" spans="2:4" ht="12.75">
      <c r="B119" s="149" t="s">
        <v>241</v>
      </c>
      <c r="C119" s="144"/>
      <c r="D119" s="83"/>
    </row>
    <row r="120" spans="2:4" ht="12.75">
      <c r="B120" s="149" t="s">
        <v>261</v>
      </c>
      <c r="C120" s="144"/>
      <c r="D120" s="19"/>
    </row>
    <row r="121" spans="2:4" ht="12.75">
      <c r="B121" s="149" t="s">
        <v>198</v>
      </c>
      <c r="C121" s="144"/>
      <c r="D121" s="19"/>
    </row>
    <row r="122" spans="1:3" ht="12.75">
      <c r="A122" s="56" t="s">
        <v>93</v>
      </c>
      <c r="B122" s="148" t="s">
        <v>239</v>
      </c>
      <c r="C122" s="144">
        <v>0</v>
      </c>
    </row>
    <row r="123" spans="1:3" ht="12.75">
      <c r="A123" s="56"/>
      <c r="B123" s="148" t="s">
        <v>240</v>
      </c>
      <c r="C123" s="144">
        <v>14</v>
      </c>
    </row>
    <row r="124" spans="1:3" ht="12.75">
      <c r="A124" s="56" t="s">
        <v>84</v>
      </c>
      <c r="B124" s="148" t="s">
        <v>197</v>
      </c>
      <c r="C124" s="144">
        <v>0</v>
      </c>
    </row>
    <row r="125" spans="1:3" ht="12.75">
      <c r="A125" s="56"/>
      <c r="B125" s="148" t="s">
        <v>238</v>
      </c>
      <c r="C125" s="144">
        <v>0</v>
      </c>
    </row>
    <row r="126" spans="1:3" ht="12.75">
      <c r="A126" s="56" t="s">
        <v>84</v>
      </c>
      <c r="B126" s="148" t="s">
        <v>516</v>
      </c>
      <c r="C126" s="144">
        <v>0</v>
      </c>
    </row>
    <row r="127" spans="1:3" ht="12.75">
      <c r="A127" s="56" t="s">
        <v>84</v>
      </c>
      <c r="B127" s="148" t="s">
        <v>196</v>
      </c>
      <c r="C127" s="144">
        <v>0</v>
      </c>
    </row>
    <row r="128" spans="1:3" ht="12.75">
      <c r="A128" s="56"/>
      <c r="B128" s="148" t="s">
        <v>241</v>
      </c>
      <c r="C128" s="144">
        <v>0</v>
      </c>
    </row>
    <row r="129" spans="1:3" ht="12.75">
      <c r="A129" s="56" t="s">
        <v>84</v>
      </c>
      <c r="B129" s="148" t="s">
        <v>261</v>
      </c>
      <c r="C129" s="144">
        <v>19.8</v>
      </c>
    </row>
    <row r="130" spans="1:3" ht="12.75">
      <c r="A130" s="56" t="s">
        <v>84</v>
      </c>
      <c r="B130" s="148" t="s">
        <v>198</v>
      </c>
      <c r="C130" s="144">
        <v>0</v>
      </c>
    </row>
    <row r="131" spans="1:3" ht="12.75">
      <c r="A131" t="s">
        <v>94</v>
      </c>
      <c r="B131" s="149" t="s">
        <v>239</v>
      </c>
      <c r="C131" s="144">
        <v>0</v>
      </c>
    </row>
    <row r="132" spans="2:3" ht="12.75">
      <c r="B132" s="149" t="s">
        <v>240</v>
      </c>
      <c r="C132" s="144">
        <v>273</v>
      </c>
    </row>
    <row r="133" spans="1:3" ht="12.75">
      <c r="B133" s="149" t="s">
        <v>197</v>
      </c>
      <c r="C133" s="144">
        <v>548</v>
      </c>
    </row>
    <row r="134" spans="2:3" ht="12.75">
      <c r="B134" s="149" t="s">
        <v>241</v>
      </c>
      <c r="C134" s="144">
        <v>0</v>
      </c>
    </row>
    <row r="135" spans="1:3" ht="12.75">
      <c r="B135" s="149" t="s">
        <v>261</v>
      </c>
      <c r="C135" s="144">
        <v>59.2</v>
      </c>
    </row>
    <row r="136" spans="1:3" ht="12.75">
      <c r="B136" s="149" t="s">
        <v>198</v>
      </c>
      <c r="C136" s="144">
        <v>0</v>
      </c>
    </row>
    <row r="137" spans="1:3" ht="12.75">
      <c r="A137" s="56" t="s">
        <v>95</v>
      </c>
      <c r="B137" s="148" t="s">
        <v>239</v>
      </c>
      <c r="C137" s="144">
        <v>0</v>
      </c>
    </row>
    <row r="138" spans="1:3" ht="12.75">
      <c r="A138" s="56"/>
      <c r="B138" s="148" t="s">
        <v>240</v>
      </c>
      <c r="C138" s="144">
        <v>1064</v>
      </c>
    </row>
    <row r="139" spans="1:3" ht="12.75">
      <c r="A139" s="56" t="s">
        <v>84</v>
      </c>
      <c r="B139" s="148" t="s">
        <v>197</v>
      </c>
      <c r="C139" s="144">
        <v>0</v>
      </c>
    </row>
    <row r="140" spans="1:3" ht="12.75">
      <c r="A140" s="56"/>
      <c r="B140" s="148" t="s">
        <v>238</v>
      </c>
      <c r="C140" s="144">
        <f>2910+809</f>
        <v>3719</v>
      </c>
    </row>
    <row r="141" spans="1:3" ht="12.75">
      <c r="A141" s="56" t="s">
        <v>84</v>
      </c>
      <c r="B141" s="148" t="s">
        <v>516</v>
      </c>
      <c r="C141" s="144">
        <v>1401</v>
      </c>
    </row>
    <row r="142" spans="1:3" ht="12.75">
      <c r="A142" s="56" t="s">
        <v>84</v>
      </c>
      <c r="B142" s="148" t="s">
        <v>196</v>
      </c>
      <c r="C142" s="144">
        <v>0</v>
      </c>
    </row>
    <row r="143" spans="1:3" ht="12.75">
      <c r="A143" s="56"/>
      <c r="B143" s="148" t="s">
        <v>291</v>
      </c>
      <c r="C143" s="144">
        <v>0</v>
      </c>
    </row>
    <row r="144" spans="1:3" ht="12.75">
      <c r="A144" s="56" t="s">
        <v>84</v>
      </c>
      <c r="B144" s="148" t="s">
        <v>517</v>
      </c>
      <c r="C144" s="144">
        <v>1562</v>
      </c>
    </row>
    <row r="145" spans="1:3" ht="12.75">
      <c r="A145" s="56" t="s">
        <v>84</v>
      </c>
      <c r="B145" s="148" t="s">
        <v>290</v>
      </c>
      <c r="C145" s="144">
        <v>0</v>
      </c>
    </row>
    <row r="147" ht="12.75">
      <c r="A147" s="140" t="s">
        <v>262</v>
      </c>
    </row>
    <row r="148" spans="1:3" ht="12.75">
      <c r="B148" s="147" t="s">
        <v>512</v>
      </c>
      <c r="C148" s="20">
        <v>0.6</v>
      </c>
    </row>
    <row r="149" spans="1:3" ht="12.75">
      <c r="B149" s="147" t="s">
        <v>513</v>
      </c>
      <c r="C149" s="20">
        <v>0.75</v>
      </c>
    </row>
    <row r="150" spans="1:3" ht="12.75">
      <c r="B150" s="147" t="s">
        <v>514</v>
      </c>
      <c r="C150" s="20">
        <v>0.5</v>
      </c>
    </row>
    <row r="152" spans="1:2" ht="12.75">
      <c r="A152" s="140" t="s">
        <v>508</v>
      </c>
      <c r="B152" s="14"/>
    </row>
    <row r="153" spans="1:3" ht="12.75">
      <c r="A153" s="56" t="s">
        <v>83</v>
      </c>
      <c r="B153" s="148" t="s">
        <v>263</v>
      </c>
      <c r="C153" s="57">
        <v>0</v>
      </c>
    </row>
    <row r="154" spans="1:3" ht="12.75">
      <c r="A154" s="56"/>
      <c r="B154" s="148" t="s">
        <v>264</v>
      </c>
      <c r="C154" s="57"/>
    </row>
    <row r="155" spans="1:3" ht="12.75">
      <c r="A155" t="s">
        <v>85</v>
      </c>
      <c r="B155" s="149" t="s">
        <v>263</v>
      </c>
      <c r="C155" s="9">
        <v>0</v>
      </c>
    </row>
    <row r="156" spans="1:3" ht="12.75">
      <c r="B156" s="149" t="s">
        <v>265</v>
      </c>
      <c r="C156" s="9">
        <v>0</v>
      </c>
    </row>
    <row r="157" spans="1:3" ht="12.75">
      <c r="B157" s="149" t="s">
        <v>264</v>
      </c>
      <c r="C157" s="9">
        <v>0</v>
      </c>
    </row>
    <row r="158" spans="1:3" ht="12.75">
      <c r="A158" s="56" t="s">
        <v>86</v>
      </c>
      <c r="B158" s="148" t="s">
        <v>263</v>
      </c>
      <c r="C158" s="57">
        <v>0</v>
      </c>
    </row>
    <row r="159" spans="1:3" ht="12.75">
      <c r="A159" s="56"/>
      <c r="B159" s="148" t="s">
        <v>264</v>
      </c>
      <c r="C159" s="57">
        <v>0</v>
      </c>
    </row>
    <row r="160" spans="1:3" ht="12.75">
      <c r="A160" t="s">
        <v>87</v>
      </c>
      <c r="B160" s="149" t="s">
        <v>264</v>
      </c>
      <c r="C160" s="9">
        <v>0</v>
      </c>
    </row>
    <row r="161" spans="1:3" ht="12.75">
      <c r="A161" s="56" t="s">
        <v>236</v>
      </c>
      <c r="B161" s="148" t="s">
        <v>263</v>
      </c>
      <c r="C161" s="57">
        <v>0</v>
      </c>
    </row>
    <row r="162" spans="1:3" ht="12.75">
      <c r="A162" s="56" t="s">
        <v>84</v>
      </c>
      <c r="B162" s="148" t="s">
        <v>265</v>
      </c>
      <c r="C162" s="57">
        <v>0</v>
      </c>
    </row>
    <row r="163" spans="1:3" ht="12.75">
      <c r="A163" s="56" t="s">
        <v>84</v>
      </c>
      <c r="B163" s="148" t="s">
        <v>264</v>
      </c>
      <c r="C163" s="57">
        <v>0</v>
      </c>
    </row>
    <row r="164" spans="1:3" ht="12.75">
      <c r="A164" t="s">
        <v>88</v>
      </c>
      <c r="B164" s="149" t="s">
        <v>264</v>
      </c>
      <c r="C164" s="9">
        <v>0</v>
      </c>
    </row>
    <row r="165" spans="1:3" ht="12.75">
      <c r="A165" s="56" t="s">
        <v>89</v>
      </c>
      <c r="B165" s="148" t="s">
        <v>265</v>
      </c>
      <c r="C165" s="57">
        <v>0</v>
      </c>
    </row>
    <row r="166" spans="1:3" ht="12.75">
      <c r="A166" s="56" t="s">
        <v>84</v>
      </c>
      <c r="B166" s="148" t="s">
        <v>264</v>
      </c>
      <c r="C166" s="57">
        <v>0</v>
      </c>
    </row>
    <row r="167" spans="1:3" ht="12.75">
      <c r="A167" t="s">
        <v>90</v>
      </c>
      <c r="B167" s="149" t="s">
        <v>264</v>
      </c>
      <c r="C167" s="9">
        <v>0</v>
      </c>
    </row>
    <row r="168" spans="1:3" ht="12.75">
      <c r="A168" s="56" t="s">
        <v>91</v>
      </c>
      <c r="B168" s="148" t="s">
        <v>264</v>
      </c>
      <c r="C168" s="57">
        <v>0</v>
      </c>
    </row>
    <row r="169" spans="1:3" ht="12.75">
      <c r="A169" s="56"/>
      <c r="B169" s="148" t="s">
        <v>509</v>
      </c>
      <c r="C169" s="57">
        <v>0</v>
      </c>
    </row>
    <row r="170" spans="1:3" ht="12.75">
      <c r="A170" t="s">
        <v>92</v>
      </c>
      <c r="B170" s="149" t="s">
        <v>263</v>
      </c>
      <c r="C170" s="9">
        <v>0</v>
      </c>
    </row>
    <row r="171" spans="1:3" ht="12.75">
      <c r="B171" s="149" t="s">
        <v>265</v>
      </c>
      <c r="C171" s="9">
        <v>0</v>
      </c>
    </row>
    <row r="172" spans="1:3" ht="12.75">
      <c r="B172" s="149" t="s">
        <v>264</v>
      </c>
      <c r="C172" s="9">
        <v>0</v>
      </c>
    </row>
    <row r="173" spans="2:3" ht="12.75">
      <c r="B173" s="149" t="s">
        <v>509</v>
      </c>
      <c r="C173" s="9">
        <v>0</v>
      </c>
    </row>
    <row r="174" spans="1:3" ht="12.75">
      <c r="A174" s="56" t="s">
        <v>93</v>
      </c>
      <c r="B174" s="148" t="s">
        <v>265</v>
      </c>
      <c r="C174" s="57">
        <v>0</v>
      </c>
    </row>
    <row r="175" spans="1:3" ht="12.75">
      <c r="A175" s="56" t="s">
        <v>84</v>
      </c>
      <c r="B175" s="148" t="s">
        <v>264</v>
      </c>
      <c r="C175" s="57">
        <v>0</v>
      </c>
    </row>
    <row r="176" spans="1:3" ht="12.75">
      <c r="A176" s="56"/>
      <c r="B176" s="148" t="s">
        <v>509</v>
      </c>
      <c r="C176" s="57">
        <v>0</v>
      </c>
    </row>
    <row r="177" spans="1:3" ht="12.75">
      <c r="A177" t="s">
        <v>94</v>
      </c>
      <c r="B177" s="149" t="s">
        <v>265</v>
      </c>
      <c r="C177" s="9">
        <v>0</v>
      </c>
    </row>
    <row r="178" spans="1:5" s="19" customFormat="1" ht="12.75">
      <c r="A178" t="s">
        <v>84</v>
      </c>
      <c r="B178" s="149" t="s">
        <v>264</v>
      </c>
      <c r="C178" s="9">
        <v>0</v>
      </c>
      <c r="D178"/>
      <c r="E178"/>
    </row>
    <row r="179" spans="1:3" ht="12.75">
      <c r="A179" s="56" t="s">
        <v>95</v>
      </c>
      <c r="B179" s="148" t="s">
        <v>265</v>
      </c>
      <c r="C179" s="57">
        <v>0</v>
      </c>
    </row>
    <row r="180" spans="1:3" ht="12.75">
      <c r="A180" s="56" t="s">
        <v>84</v>
      </c>
      <c r="B180" s="148" t="s">
        <v>509</v>
      </c>
      <c r="C180" s="57">
        <v>0</v>
      </c>
    </row>
    <row r="181" spans="1:2" ht="12.75"/>
    <row r="182" spans="1:2" ht="12.75">
      <c r="A182" s="5" t="s">
        <v>100</v>
      </c>
      <c r="B182" s="14" t="s">
        <v>84</v>
      </c>
    </row>
    <row r="183" spans="1:4" ht="12.75">
      <c r="A183" s="56" t="s">
        <v>83</v>
      </c>
      <c r="B183" s="58" t="s">
        <v>101</v>
      </c>
      <c r="C183" s="144">
        <v>17700</v>
      </c>
      <c r="D183" s="92"/>
    </row>
    <row r="184" spans="1:4" ht="12.75">
      <c r="A184" t="s">
        <v>85</v>
      </c>
      <c r="B184" s="6" t="s">
        <v>102</v>
      </c>
      <c r="C184" s="144">
        <v>1060</v>
      </c>
      <c r="D184" s="92"/>
    </row>
    <row r="185" spans="1:4" ht="12.75">
      <c r="A185" s="56" t="s">
        <v>86</v>
      </c>
      <c r="B185" s="58" t="s">
        <v>103</v>
      </c>
      <c r="C185" s="144">
        <v>2090</v>
      </c>
      <c r="D185" s="92"/>
    </row>
    <row r="186" spans="1:4" ht="12.75">
      <c r="A186" t="s">
        <v>87</v>
      </c>
      <c r="B186" s="6" t="s">
        <v>104</v>
      </c>
      <c r="C186" s="144">
        <v>4710</v>
      </c>
      <c r="D186" s="92"/>
    </row>
    <row r="187" spans="1:4" ht="12.75">
      <c r="A187" s="56" t="s">
        <v>236</v>
      </c>
      <c r="B187" s="58" t="s">
        <v>105</v>
      </c>
      <c r="C187" s="144">
        <v>905.35872</v>
      </c>
      <c r="D187" s="92"/>
    </row>
    <row r="188" spans="1:4" ht="12.75">
      <c r="A188" t="s">
        <v>88</v>
      </c>
      <c r="B188" s="6" t="s">
        <v>106</v>
      </c>
      <c r="C188" s="144">
        <v>13360</v>
      </c>
      <c r="D188" s="92"/>
    </row>
    <row r="189" spans="1:4" ht="12.75">
      <c r="A189" s="56" t="s">
        <v>89</v>
      </c>
      <c r="B189" s="58" t="s">
        <v>260</v>
      </c>
      <c r="C189" s="144">
        <v>1100</v>
      </c>
      <c r="D189" s="92"/>
    </row>
    <row r="190" spans="1:4" ht="12.75">
      <c r="A190" t="s">
        <v>90</v>
      </c>
      <c r="B190" s="6" t="s">
        <v>107</v>
      </c>
      <c r="C190" s="144">
        <v>3970</v>
      </c>
      <c r="D190" s="92"/>
    </row>
    <row r="191" spans="1:4" ht="12.75">
      <c r="A191" s="56" t="s">
        <v>91</v>
      </c>
      <c r="B191" s="58" t="s">
        <v>108</v>
      </c>
      <c r="C191" s="144">
        <v>19850</v>
      </c>
      <c r="D191" s="92"/>
    </row>
    <row r="192" spans="1:4" ht="12.75">
      <c r="A192" t="s">
        <v>92</v>
      </c>
      <c r="B192" s="6" t="s">
        <v>109</v>
      </c>
      <c r="C192" s="144">
        <v>220</v>
      </c>
      <c r="D192" s="92"/>
    </row>
    <row r="193" spans="1:4" ht="12.75">
      <c r="A193" s="56" t="s">
        <v>93</v>
      </c>
      <c r="B193" s="58" t="s">
        <v>110</v>
      </c>
      <c r="C193" s="144">
        <v>179.11552</v>
      </c>
      <c r="D193" s="92"/>
    </row>
    <row r="194" spans="1:4" ht="12.75">
      <c r="A194" t="s">
        <v>94</v>
      </c>
      <c r="B194" s="6" t="s">
        <v>111</v>
      </c>
      <c r="C194" s="144">
        <v>1087.4502400000001</v>
      </c>
      <c r="D194" s="92"/>
    </row>
    <row r="195" spans="1:4" ht="12.75">
      <c r="A195" s="56" t="s">
        <v>95</v>
      </c>
      <c r="B195" s="58" t="s">
        <v>112</v>
      </c>
      <c r="C195" s="144">
        <v>21345.527439999998</v>
      </c>
      <c r="D195" s="92"/>
    </row>
    <row r="196" spans="1:4" ht="12.75">
      <c r="A196" s="56" t="s">
        <v>84</v>
      </c>
      <c r="B196" s="58" t="s">
        <v>113</v>
      </c>
      <c r="C196" s="144">
        <v>52394</v>
      </c>
      <c r="D196" s="92"/>
    </row>
    <row r="197" spans="1:4" ht="12.75">
      <c r="A197" s="56" t="s">
        <v>84</v>
      </c>
      <c r="B197" s="58" t="s">
        <v>114</v>
      </c>
      <c r="C197" s="144">
        <f>BureauT2!H66</f>
        <v>20959</v>
      </c>
      <c r="D197" s="66" t="s">
        <v>504</v>
      </c>
    </row>
    <row r="199" spans="1:2" ht="12.75">
      <c r="A199" s="5" t="s">
        <v>115</v>
      </c>
      <c r="B199" s="14" t="s">
        <v>84</v>
      </c>
    </row>
    <row r="200" spans="1:3" ht="12.75">
      <c r="A200" s="56" t="s">
        <v>83</v>
      </c>
      <c r="B200" s="57" t="s">
        <v>116</v>
      </c>
      <c r="C200" s="144">
        <v>0</v>
      </c>
    </row>
    <row r="201" spans="1:3" ht="12.75">
      <c r="A201" t="s">
        <v>85</v>
      </c>
      <c r="B201" s="2" t="s">
        <v>117</v>
      </c>
      <c r="C201" s="144">
        <v>0</v>
      </c>
    </row>
    <row r="202" spans="1:3" ht="12.75">
      <c r="A202" s="56" t="s">
        <v>86</v>
      </c>
      <c r="B202" s="57" t="s">
        <v>118</v>
      </c>
      <c r="C202" s="144">
        <v>0</v>
      </c>
    </row>
    <row r="203" spans="1:3" ht="12.75">
      <c r="A203" t="s">
        <v>87</v>
      </c>
      <c r="B203" s="2" t="s">
        <v>119</v>
      </c>
      <c r="C203" s="144">
        <v>0</v>
      </c>
    </row>
    <row r="204" spans="1:3" ht="12.75">
      <c r="A204" s="56" t="s">
        <v>236</v>
      </c>
      <c r="B204" s="57" t="s">
        <v>120</v>
      </c>
      <c r="C204" s="144">
        <v>0</v>
      </c>
    </row>
    <row r="205" spans="1:3" ht="12.75">
      <c r="A205" t="s">
        <v>88</v>
      </c>
      <c r="B205" s="2" t="s">
        <v>121</v>
      </c>
      <c r="C205" s="144">
        <v>0</v>
      </c>
    </row>
    <row r="206" spans="1:3" ht="12.75">
      <c r="A206" s="56" t="s">
        <v>89</v>
      </c>
      <c r="B206" s="57" t="s">
        <v>122</v>
      </c>
      <c r="C206" s="144">
        <v>0</v>
      </c>
    </row>
    <row r="207" spans="1:3" ht="12.75">
      <c r="A207" t="s">
        <v>90</v>
      </c>
      <c r="B207" s="2" t="s">
        <v>123</v>
      </c>
      <c r="C207" s="144">
        <v>0</v>
      </c>
    </row>
    <row r="208" spans="1:3" ht="12.75">
      <c r="A208" s="56" t="s">
        <v>91</v>
      </c>
      <c r="B208" s="57" t="s">
        <v>124</v>
      </c>
      <c r="C208" s="144">
        <v>0</v>
      </c>
    </row>
    <row r="209" spans="1:3" ht="12.75">
      <c r="A209" t="s">
        <v>92</v>
      </c>
      <c r="B209" s="2" t="s">
        <v>125</v>
      </c>
      <c r="C209" s="144">
        <v>0</v>
      </c>
    </row>
    <row r="210" spans="1:3" ht="12.75">
      <c r="A210" s="56" t="s">
        <v>93</v>
      </c>
      <c r="B210" s="57" t="s">
        <v>126</v>
      </c>
      <c r="C210" s="144">
        <v>0</v>
      </c>
    </row>
    <row r="211" spans="1:3" ht="12.75">
      <c r="A211" t="s">
        <v>94</v>
      </c>
      <c r="B211" s="2" t="s">
        <v>127</v>
      </c>
      <c r="C211" s="144">
        <v>0</v>
      </c>
    </row>
    <row r="212" spans="1:3" ht="12.75">
      <c r="A212" s="56" t="s">
        <v>95</v>
      </c>
      <c r="B212" s="57" t="s">
        <v>128</v>
      </c>
      <c r="C212" s="144">
        <v>0</v>
      </c>
    </row>
    <row r="213" ht="12.75">
      <c r="C213" s="144"/>
    </row>
    <row r="214" spans="1:3" ht="12.75">
      <c r="A214" s="5" t="s">
        <v>129</v>
      </c>
      <c r="B214" s="14" t="s">
        <v>84</v>
      </c>
      <c r="C214" s="144"/>
    </row>
    <row r="215" spans="1:4" ht="12.75">
      <c r="A215" s="56" t="s">
        <v>236</v>
      </c>
      <c r="B215" s="57" t="s">
        <v>130</v>
      </c>
      <c r="C215" s="144">
        <v>3375</v>
      </c>
      <c r="D215" s="66" t="s">
        <v>518</v>
      </c>
    </row>
    <row r="216" spans="1:4" ht="12.75">
      <c r="A216" s="56" t="s">
        <v>84</v>
      </c>
      <c r="B216" s="57" t="s">
        <v>131</v>
      </c>
      <c r="C216" s="144">
        <v>-2226</v>
      </c>
      <c r="D216" s="66" t="s">
        <v>518</v>
      </c>
    </row>
    <row r="217" spans="1:4" ht="12.75">
      <c r="A217" t="s">
        <v>88</v>
      </c>
      <c r="B217" s="9" t="s">
        <v>132</v>
      </c>
      <c r="C217" s="144">
        <v>1485</v>
      </c>
      <c r="D217" s="66" t="s">
        <v>518</v>
      </c>
    </row>
    <row r="218" spans="1:4" ht="12.75">
      <c r="B218" s="9" t="s">
        <v>133</v>
      </c>
      <c r="C218" s="144">
        <v>-218</v>
      </c>
      <c r="D218" s="66" t="s">
        <v>518</v>
      </c>
    </row>
    <row r="219" spans="1:4" ht="12.75">
      <c r="A219" s="56" t="s">
        <v>90</v>
      </c>
      <c r="B219" s="57" t="s">
        <v>134</v>
      </c>
      <c r="C219" s="144">
        <v>2377</v>
      </c>
      <c r="D219" s="66" t="s">
        <v>518</v>
      </c>
    </row>
    <row r="220" spans="1:4" ht="12.75">
      <c r="A220" s="56" t="s">
        <v>84</v>
      </c>
      <c r="B220" s="57" t="s">
        <v>135</v>
      </c>
      <c r="C220" s="144">
        <v>2947</v>
      </c>
      <c r="D220" s="66" t="s">
        <v>518</v>
      </c>
    </row>
    <row r="221" spans="1:4" ht="12.75">
      <c r="A221" s="19" t="s">
        <v>91</v>
      </c>
      <c r="B221" s="9" t="s">
        <v>136</v>
      </c>
      <c r="C221" s="144">
        <v>3755</v>
      </c>
      <c r="D221" s="66" t="s">
        <v>518</v>
      </c>
    </row>
    <row r="222" spans="1:4" ht="12.75">
      <c r="A222" s="19" t="s">
        <v>84</v>
      </c>
      <c r="B222" s="9" t="s">
        <v>137</v>
      </c>
      <c r="C222" s="144">
        <v>3385</v>
      </c>
      <c r="D222" s="66" t="s">
        <v>518</v>
      </c>
    </row>
    <row r="223" spans="1:4" ht="12.75">
      <c r="A223" s="56" t="s">
        <v>94</v>
      </c>
      <c r="B223" s="57" t="s">
        <v>138</v>
      </c>
      <c r="C223" s="144">
        <v>2823</v>
      </c>
      <c r="D223" s="66" t="s">
        <v>518</v>
      </c>
    </row>
    <row r="224" spans="1:4" ht="12.75">
      <c r="A224" s="56" t="s">
        <v>84</v>
      </c>
      <c r="B224" s="57" t="s">
        <v>139</v>
      </c>
      <c r="C224" s="144">
        <v>-4338</v>
      </c>
      <c r="D224" s="66" t="s">
        <v>518</v>
      </c>
    </row>
    <row r="225" spans="1:4" ht="12.75">
      <c r="A225" s="19" t="s">
        <v>95</v>
      </c>
      <c r="B225" s="9" t="s">
        <v>140</v>
      </c>
      <c r="C225" s="144">
        <v>6086</v>
      </c>
      <c r="D225" s="66" t="s">
        <v>518</v>
      </c>
    </row>
    <row r="226" spans="1:4" ht="12.75">
      <c r="A226" s="19" t="s">
        <v>84</v>
      </c>
      <c r="B226" s="9" t="s">
        <v>141</v>
      </c>
      <c r="C226" s="144">
        <v>4735</v>
      </c>
      <c r="D226" s="66" t="s">
        <v>518</v>
      </c>
    </row>
    <row r="227" spans="1:4" ht="12.75">
      <c r="A227" s="19" t="s">
        <v>84</v>
      </c>
      <c r="B227" s="9" t="s">
        <v>142</v>
      </c>
      <c r="C227" s="144">
        <v>23664</v>
      </c>
      <c r="D227" s="66" t="s">
        <v>518</v>
      </c>
    </row>
    <row r="228" spans="1:4" ht="12.75">
      <c r="A228" s="19" t="s">
        <v>84</v>
      </c>
      <c r="B228" s="9" t="s">
        <v>143</v>
      </c>
      <c r="C228" s="144">
        <v>-47110</v>
      </c>
      <c r="D228" s="66" t="s">
        <v>518</v>
      </c>
    </row>
    <row r="229" spans="1:4" ht="12.75">
      <c r="A229" s="19" t="s">
        <v>84</v>
      </c>
      <c r="B229" s="9" t="s">
        <v>505</v>
      </c>
      <c r="C229" s="144">
        <v>670</v>
      </c>
      <c r="D229" s="142" t="s">
        <v>503</v>
      </c>
    </row>
    <row r="231" spans="1:2" ht="12.75">
      <c r="A231" s="5" t="s">
        <v>144</v>
      </c>
      <c r="B231" s="14" t="s">
        <v>84</v>
      </c>
    </row>
    <row r="232" spans="1:3" ht="12.75">
      <c r="A232" s="56" t="s">
        <v>83</v>
      </c>
      <c r="B232" s="57" t="s">
        <v>145</v>
      </c>
      <c r="C232" s="144">
        <v>1948</v>
      </c>
    </row>
    <row r="233" spans="1:3" ht="12.75">
      <c r="A233" s="56" t="s">
        <v>84</v>
      </c>
      <c r="B233" s="57" t="s">
        <v>146</v>
      </c>
      <c r="C233" s="144">
        <v>4965</v>
      </c>
    </row>
    <row r="234" spans="1:3" ht="12.75">
      <c r="A234" s="56" t="s">
        <v>84</v>
      </c>
      <c r="B234" s="57" t="s">
        <v>147</v>
      </c>
      <c r="C234" s="144">
        <f>SUM(C232:C233)</f>
        <v>6913</v>
      </c>
    </row>
    <row r="235" spans="1:3" ht="12.75">
      <c r="A235" s="19" t="s">
        <v>236</v>
      </c>
      <c r="B235" s="9" t="s">
        <v>148</v>
      </c>
      <c r="C235" s="144">
        <v>0</v>
      </c>
    </row>
    <row r="236" spans="1:3" ht="12.75">
      <c r="A236" s="56" t="s">
        <v>88</v>
      </c>
      <c r="B236" s="57" t="s">
        <v>149</v>
      </c>
      <c r="C236" s="144">
        <v>0</v>
      </c>
    </row>
    <row r="237" spans="1:3" ht="12.75">
      <c r="A237" s="56" t="s">
        <v>84</v>
      </c>
      <c r="B237" s="57" t="s">
        <v>150</v>
      </c>
      <c r="C237" s="144">
        <v>1838</v>
      </c>
    </row>
    <row r="238" spans="1:3" ht="12.75">
      <c r="A238" s="56" t="s">
        <v>84</v>
      </c>
      <c r="B238" s="57" t="s">
        <v>151</v>
      </c>
      <c r="C238" s="144">
        <v>8002</v>
      </c>
    </row>
    <row r="239" spans="1:3" ht="12.75">
      <c r="A239" s="56" t="s">
        <v>84</v>
      </c>
      <c r="B239" s="57" t="s">
        <v>152</v>
      </c>
      <c r="C239" s="144">
        <v>0</v>
      </c>
    </row>
    <row r="240" spans="1:3" ht="12.75">
      <c r="A240" s="56" t="s">
        <v>84</v>
      </c>
      <c r="B240" s="57" t="s">
        <v>153</v>
      </c>
      <c r="C240" s="57">
        <v>0.56</v>
      </c>
    </row>
    <row r="241" spans="1:4" ht="12.75">
      <c r="A241" s="56" t="s">
        <v>84</v>
      </c>
      <c r="B241" s="57" t="s">
        <v>154</v>
      </c>
      <c r="C241" s="146">
        <v>1</v>
      </c>
      <c r="D241" s="92"/>
    </row>
    <row r="242" spans="1:3" ht="12.75">
      <c r="A242" s="19" t="s">
        <v>89</v>
      </c>
      <c r="B242" s="9" t="s">
        <v>155</v>
      </c>
      <c r="C242" s="144">
        <v>0</v>
      </c>
    </row>
    <row r="243" spans="1:4" ht="12.75">
      <c r="A243" s="19" t="s">
        <v>84</v>
      </c>
      <c r="B243" s="9" t="s">
        <v>156</v>
      </c>
      <c r="C243" s="65">
        <v>1</v>
      </c>
      <c r="D243" s="92"/>
    </row>
    <row r="244" spans="1:3" ht="12.75">
      <c r="A244" s="56" t="s">
        <v>90</v>
      </c>
      <c r="B244" s="57" t="s">
        <v>157</v>
      </c>
      <c r="C244" s="144">
        <v>0</v>
      </c>
    </row>
    <row r="245" spans="1:4" ht="12.75">
      <c r="A245" s="56" t="s">
        <v>84</v>
      </c>
      <c r="B245" s="57" t="s">
        <v>158</v>
      </c>
      <c r="C245" s="146">
        <v>1</v>
      </c>
      <c r="D245" s="92"/>
    </row>
    <row r="246" spans="1:3" ht="12.75">
      <c r="A246" t="s">
        <v>94</v>
      </c>
      <c r="B246" s="9" t="s">
        <v>288</v>
      </c>
      <c r="C246" s="144">
        <v>3379</v>
      </c>
    </row>
    <row r="247" spans="1:4" ht="12.75">
      <c r="B247" s="9" t="s">
        <v>289</v>
      </c>
      <c r="C247" s="9">
        <v>0.52</v>
      </c>
      <c r="D247" s="92"/>
    </row>
    <row r="248" spans="1:3" ht="12.75">
      <c r="A248" s="56" t="s">
        <v>95</v>
      </c>
      <c r="B248" s="57" t="s">
        <v>159</v>
      </c>
      <c r="C248" s="144">
        <v>0</v>
      </c>
    </row>
    <row r="249" spans="1:3" ht="12.75">
      <c r="A249" s="56"/>
      <c r="B249" s="57" t="s">
        <v>171</v>
      </c>
      <c r="C249" s="146">
        <v>1</v>
      </c>
    </row>
    <row r="250" spans="1:3" ht="12.75">
      <c r="A250" s="56" t="s">
        <v>84</v>
      </c>
      <c r="B250" s="57" t="s">
        <v>160</v>
      </c>
      <c r="C250" s="144">
        <v>18332</v>
      </c>
    </row>
    <row r="251" spans="1:3" ht="12.75">
      <c r="A251" s="56"/>
      <c r="B251" s="57" t="s">
        <v>172</v>
      </c>
      <c r="C251" s="57">
        <v>0.51</v>
      </c>
    </row>
    <row r="252" spans="1:3" ht="12.75">
      <c r="A252" s="56" t="s">
        <v>84</v>
      </c>
      <c r="B252" s="57" t="s">
        <v>161</v>
      </c>
      <c r="C252" s="144">
        <v>2162</v>
      </c>
    </row>
    <row r="253" spans="1:3" ht="12.75">
      <c r="A253" s="56"/>
      <c r="B253" s="57" t="s">
        <v>173</v>
      </c>
      <c r="C253" s="57">
        <v>0.53</v>
      </c>
    </row>
    <row r="254" spans="1:3" ht="12.75">
      <c r="A254" s="56" t="s">
        <v>84</v>
      </c>
      <c r="B254" s="57" t="s">
        <v>162</v>
      </c>
      <c r="C254" s="144">
        <v>15262</v>
      </c>
    </row>
    <row r="255" spans="1:3" ht="12.75">
      <c r="A255" s="56"/>
      <c r="B255" s="57" t="s">
        <v>174</v>
      </c>
      <c r="C255" s="57">
        <v>0.64</v>
      </c>
    </row>
    <row r="256" spans="1:3" ht="12.75">
      <c r="A256" s="56" t="s">
        <v>84</v>
      </c>
      <c r="B256" s="57" t="s">
        <v>163</v>
      </c>
      <c r="C256" s="144">
        <v>1687</v>
      </c>
    </row>
    <row r="257" spans="1:3" ht="12.75">
      <c r="A257" s="56"/>
      <c r="B257" s="57" t="s">
        <v>175</v>
      </c>
      <c r="C257" s="57">
        <v>0.57</v>
      </c>
    </row>
    <row r="258" spans="1:3" ht="12.75">
      <c r="A258" s="56" t="s">
        <v>84</v>
      </c>
      <c r="B258" s="57" t="s">
        <v>164</v>
      </c>
      <c r="C258" s="144">
        <v>8174</v>
      </c>
    </row>
    <row r="259" spans="1:3" ht="12.75">
      <c r="A259" s="56"/>
      <c r="B259" s="57" t="s">
        <v>176</v>
      </c>
      <c r="C259" s="57">
        <v>0.57</v>
      </c>
    </row>
    <row r="260" spans="1:3" ht="12.75">
      <c r="A260" s="56"/>
      <c r="B260" s="57"/>
      <c r="C260" s="57"/>
    </row>
    <row r="261" spans="1:4" ht="12.75">
      <c r="A261" s="56" t="s">
        <v>84</v>
      </c>
      <c r="B261" s="57" t="s">
        <v>165</v>
      </c>
      <c r="C261" s="144">
        <f>CourtlandAvLove!B28</f>
        <v>66500</v>
      </c>
      <c r="D261" s="142" t="s">
        <v>419</v>
      </c>
    </row>
    <row r="262" spans="1:4" ht="12.75">
      <c r="A262" s="56"/>
      <c r="B262" s="207" t="s">
        <v>530</v>
      </c>
      <c r="C262" s="144">
        <v>1591</v>
      </c>
      <c r="D262" s="142" t="s">
        <v>531</v>
      </c>
    </row>
    <row r="263" spans="1:4" ht="12.75">
      <c r="A263" s="56"/>
      <c r="B263" s="57" t="s">
        <v>532</v>
      </c>
      <c r="C263" s="146">
        <f>Attachment7!K28</f>
        <v>0.3259126335637964</v>
      </c>
      <c r="D263" s="66" t="s">
        <v>533</v>
      </c>
    </row>
    <row r="264" spans="1:4" ht="12.75">
      <c r="A264" s="56"/>
      <c r="B264" s="57" t="s">
        <v>534</v>
      </c>
      <c r="C264" s="144">
        <v>2841</v>
      </c>
      <c r="D264" s="142" t="s">
        <v>536</v>
      </c>
    </row>
    <row r="265" spans="1:4" ht="12.75">
      <c r="A265" s="56"/>
      <c r="B265" s="57" t="s">
        <v>535</v>
      </c>
      <c r="C265" s="144">
        <v>10116</v>
      </c>
      <c r="D265" s="142" t="s">
        <v>419</v>
      </c>
    </row>
    <row r="266" spans="1:10" ht="12.75">
      <c r="A266" s="56" t="s">
        <v>84</v>
      </c>
      <c r="B266" s="57" t="s">
        <v>166</v>
      </c>
      <c r="C266" s="144">
        <f>CourtlandAvLove!C28</f>
        <v>51952</v>
      </c>
      <c r="D266" s="142" t="s">
        <v>419</v>
      </c>
      <c r="J266" s="19"/>
    </row>
    <row r="267" spans="1:10" ht="12.75">
      <c r="A267" s="56"/>
      <c r="B267" s="57" t="s">
        <v>527</v>
      </c>
      <c r="C267" s="144">
        <v>17511</v>
      </c>
      <c r="D267" s="142" t="s">
        <v>526</v>
      </c>
      <c r="J267" s="19"/>
    </row>
    <row r="268" spans="1:10" ht="12.75">
      <c r="A268" s="56"/>
      <c r="B268" s="57" t="s">
        <v>177</v>
      </c>
      <c r="C268" s="146">
        <f>Attachment7!K29</f>
        <v>0.5180198161155845</v>
      </c>
      <c r="D268" s="66" t="s">
        <v>533</v>
      </c>
      <c r="J268" s="19"/>
    </row>
    <row r="269" spans="1:10" ht="12.75">
      <c r="A269" s="56"/>
      <c r="B269" s="57" t="s">
        <v>537</v>
      </c>
      <c r="C269" s="144">
        <f>CourtlandAvLove!O28</f>
        <v>10687</v>
      </c>
      <c r="D269" s="142" t="s">
        <v>419</v>
      </c>
      <c r="J269" s="19"/>
    </row>
    <row r="270" spans="1:6" ht="12.75">
      <c r="A270" s="56" t="s">
        <v>84</v>
      </c>
      <c r="B270" s="57" t="s">
        <v>167</v>
      </c>
      <c r="C270" s="144">
        <f>BureauT2!I66</f>
        <v>26596</v>
      </c>
      <c r="D270" s="142" t="s">
        <v>418</v>
      </c>
      <c r="F270" s="19"/>
    </row>
    <row r="271" spans="1:4" ht="12.75">
      <c r="A271" s="56" t="s">
        <v>84</v>
      </c>
      <c r="B271" s="57" t="s">
        <v>539</v>
      </c>
      <c r="C271" s="144">
        <v>21270</v>
      </c>
      <c r="D271" s="142" t="s">
        <v>503</v>
      </c>
    </row>
    <row r="272" spans="1:4" ht="12.75">
      <c r="A272" s="56"/>
      <c r="B272" s="57" t="s">
        <v>178</v>
      </c>
      <c r="C272" s="146">
        <f>Attachment7!K30</f>
        <v>0.4566515194068415</v>
      </c>
      <c r="D272" s="66" t="s">
        <v>533</v>
      </c>
    </row>
    <row r="273" spans="1:4" ht="12.75">
      <c r="A273" s="56"/>
      <c r="B273" s="57"/>
      <c r="C273" s="146"/>
      <c r="D273" s="66"/>
    </row>
    <row r="274" spans="1:4" ht="12.75">
      <c r="A274" s="56"/>
      <c r="B274" s="208" t="s">
        <v>538</v>
      </c>
      <c r="C274" s="146"/>
      <c r="D274" s="66"/>
    </row>
    <row r="275" spans="1:4" ht="12.75">
      <c r="A275" s="56" t="s">
        <v>84</v>
      </c>
      <c r="B275" s="57" t="s">
        <v>169</v>
      </c>
      <c r="C275" s="144">
        <v>27100</v>
      </c>
      <c r="D275" s="142" t="s">
        <v>420</v>
      </c>
    </row>
    <row r="276" spans="1:4" ht="12.75">
      <c r="A276" s="56" t="s">
        <v>84</v>
      </c>
      <c r="B276" s="57" t="s">
        <v>170</v>
      </c>
      <c r="C276" s="144">
        <v>28844</v>
      </c>
      <c r="D276" s="142" t="s">
        <v>420</v>
      </c>
    </row>
  </sheetData>
  <sheetProtection/>
  <printOptions headings="1"/>
  <pageMargins left="0.75" right="0.75" top="0.75" bottom="0.75" header="0.25" footer="0.5"/>
  <pageSetup fitToHeight="4" fitToWidth="1" horizontalDpi="600" verticalDpi="600" orientation="portrait" paperSize="3" scale="76" r:id="rId1"/>
  <headerFooter alignWithMargins="0">
    <oddHeader>&amp;LRRCA
Compact Accounting&amp;C&amp;A&amp;RPage &amp;P of &amp;N</oddHeader>
  </headerFooter>
  <rowBreaks count="2" manualBreakCount="2">
    <brk id="132" max="3" man="1"/>
    <brk id="213" max="3" man="1"/>
  </rowBreaks>
</worksheet>
</file>

<file path=xl/worksheets/sheet20.xml><?xml version="1.0" encoding="utf-8"?>
<worksheet xmlns="http://schemas.openxmlformats.org/spreadsheetml/2006/main" xmlns:r="http://schemas.openxmlformats.org/officeDocument/2006/relationships">
  <sheetPr codeName="Sheet20">
    <pageSetUpPr fitToPage="1"/>
  </sheetPr>
  <dimension ref="A1:E8"/>
  <sheetViews>
    <sheetView zoomScalePageLayoutView="0" workbookViewId="0" topLeftCell="A1">
      <selection activeCell="A1" sqref="A1:E1"/>
    </sheetView>
  </sheetViews>
  <sheetFormatPr defaultColWidth="9.140625" defaultRowHeight="12.75"/>
  <cols>
    <col min="2" max="5" width="20.7109375" style="0" customWidth="1"/>
  </cols>
  <sheetData>
    <row r="1" spans="1:5" ht="12.75">
      <c r="A1" s="297" t="s">
        <v>51</v>
      </c>
      <c r="B1" s="297"/>
      <c r="C1" s="297"/>
      <c r="D1" s="297"/>
      <c r="E1" s="297"/>
    </row>
    <row r="2" spans="1:5" ht="39.75" customHeight="1">
      <c r="A2" s="42" t="s">
        <v>34</v>
      </c>
      <c r="B2" s="42" t="s">
        <v>48</v>
      </c>
      <c r="C2" s="42" t="s">
        <v>49</v>
      </c>
      <c r="D2" s="42" t="s">
        <v>50</v>
      </c>
      <c r="E2" s="42" t="s">
        <v>561</v>
      </c>
    </row>
    <row r="3" spans="1:5" ht="19.5" customHeight="1">
      <c r="A3" s="43">
        <f>+A4-1</f>
        <v>1999</v>
      </c>
      <c r="B3" s="47"/>
      <c r="C3" s="47"/>
      <c r="D3" s="47"/>
      <c r="E3" s="47">
        <f>+B3-(C3-D3)</f>
        <v>0</v>
      </c>
    </row>
    <row r="4" spans="1:5" ht="19.5" customHeight="1">
      <c r="A4" s="43">
        <f>+A5-1</f>
        <v>2000</v>
      </c>
      <c r="B4" s="47"/>
      <c r="C4" s="47"/>
      <c r="D4" s="47"/>
      <c r="E4" s="47">
        <f>+B4-(C4-D4)</f>
        <v>0</v>
      </c>
    </row>
    <row r="5" spans="1:5" ht="19.5" customHeight="1">
      <c r="A5" s="43">
        <f>+A6-1</f>
        <v>2001</v>
      </c>
      <c r="B5" s="47"/>
      <c r="C5" s="47"/>
      <c r="D5" s="47"/>
      <c r="E5" s="47">
        <f>+B5-(C5-D5)</f>
        <v>0</v>
      </c>
    </row>
    <row r="6" spans="1:5" ht="19.5" customHeight="1">
      <c r="A6" s="43">
        <f>+A7-1</f>
        <v>2002</v>
      </c>
      <c r="B6" s="47"/>
      <c r="C6" s="47"/>
      <c r="D6" s="47"/>
      <c r="E6" s="47">
        <f>+B6-(C6-D6)</f>
        <v>0</v>
      </c>
    </row>
    <row r="7" spans="1:5" ht="19.5" customHeight="1" thickBot="1">
      <c r="A7" s="44">
        <f>'T1'!A2</f>
        <v>2003</v>
      </c>
      <c r="B7" s="45"/>
      <c r="C7" s="45"/>
      <c r="D7" s="49"/>
      <c r="E7" s="45">
        <f>+B7-(C7-D7)</f>
        <v>0</v>
      </c>
    </row>
    <row r="8" spans="1:5" ht="19.5" customHeight="1" thickTop="1">
      <c r="A8" s="46" t="s">
        <v>37</v>
      </c>
      <c r="B8" s="48" t="e">
        <f>ROUND(+AVERAGE(B3:B7),-1)</f>
        <v>#DIV/0!</v>
      </c>
      <c r="C8" s="48" t="e">
        <f>ROUND(+AVERAGE(C3:C7),-1)</f>
        <v>#DIV/0!</v>
      </c>
      <c r="D8" s="48" t="e">
        <f>ROUND(+AVERAGE(D3:D7),-1)</f>
        <v>#DIV/0!</v>
      </c>
      <c r="E8" s="48">
        <f>ROUND(+AVERAGE(E3:E7),-1)</f>
        <v>0</v>
      </c>
    </row>
  </sheetData>
  <sheetProtection/>
  <mergeCells count="1">
    <mergeCell ref="A1:E1"/>
  </mergeCells>
  <printOptions/>
  <pageMargins left="0.75" right="0.75" top="1" bottom="1" header="0.5" footer="0.5"/>
  <pageSetup fitToHeight="2" fitToWidth="1" horizontalDpi="600" verticalDpi="600" orientation="landscape" r:id="rId1"/>
  <headerFooter alignWithMargins="0">
    <oddHeader>&amp;LRRCA 
Compact Accounting&amp;RPage &amp;P of &amp;N</oddHeader>
  </headerFooter>
</worksheet>
</file>

<file path=xl/worksheets/sheet21.xml><?xml version="1.0" encoding="utf-8"?>
<worksheet xmlns="http://schemas.openxmlformats.org/spreadsheetml/2006/main" xmlns:r="http://schemas.openxmlformats.org/officeDocument/2006/relationships">
  <sheetPr codeName="Sheet21">
    <pageSetUpPr fitToPage="1"/>
  </sheetPr>
  <dimension ref="A1:G19"/>
  <sheetViews>
    <sheetView zoomScalePageLayoutView="0" workbookViewId="0" topLeftCell="A1">
      <selection activeCell="A1" sqref="A1:G1"/>
    </sheetView>
  </sheetViews>
  <sheetFormatPr defaultColWidth="9.140625" defaultRowHeight="12.75"/>
  <cols>
    <col min="2" max="4" width="15.7109375" style="0" customWidth="1"/>
    <col min="5" max="7" width="20.7109375" style="0" customWidth="1"/>
  </cols>
  <sheetData>
    <row r="1" spans="1:7" ht="12.75">
      <c r="A1" s="297" t="s">
        <v>52</v>
      </c>
      <c r="B1" s="297"/>
      <c r="C1" s="297"/>
      <c r="D1" s="297"/>
      <c r="E1" s="297"/>
      <c r="F1" s="297"/>
      <c r="G1" s="297"/>
    </row>
    <row r="2" spans="1:7" ht="12.75">
      <c r="A2" s="41"/>
      <c r="B2" s="299" t="s">
        <v>35</v>
      </c>
      <c r="C2" s="299"/>
      <c r="D2" s="299"/>
      <c r="E2" s="298" t="s">
        <v>3</v>
      </c>
      <c r="F2" s="298" t="s">
        <v>36</v>
      </c>
      <c r="G2" s="298" t="s">
        <v>561</v>
      </c>
    </row>
    <row r="3" spans="1:7" ht="39.75" customHeight="1">
      <c r="A3" s="42" t="s">
        <v>34</v>
      </c>
      <c r="B3" s="42" t="s">
        <v>53</v>
      </c>
      <c r="C3" s="42" t="s">
        <v>55</v>
      </c>
      <c r="D3" s="42" t="s">
        <v>4</v>
      </c>
      <c r="E3" s="298"/>
      <c r="F3" s="298"/>
      <c r="G3" s="298"/>
    </row>
    <row r="4" spans="1:7" ht="19.5" customHeight="1">
      <c r="A4" s="43">
        <f>+A5-1</f>
        <v>1999</v>
      </c>
      <c r="B4" s="47"/>
      <c r="C4" s="47"/>
      <c r="D4" s="47">
        <f>+B4+C4</f>
        <v>0</v>
      </c>
      <c r="E4" s="47"/>
      <c r="F4" s="47"/>
      <c r="G4" s="47">
        <f>+D4-(E4-F4)</f>
        <v>0</v>
      </c>
    </row>
    <row r="5" spans="1:7" ht="19.5" customHeight="1">
      <c r="A5" s="43">
        <f>+A6-1</f>
        <v>2000</v>
      </c>
      <c r="B5" s="47"/>
      <c r="C5" s="47"/>
      <c r="D5" s="47">
        <f>+B5+C5</f>
        <v>0</v>
      </c>
      <c r="E5" s="47"/>
      <c r="F5" s="47"/>
      <c r="G5" s="47">
        <f>+D5-(E5-F5)</f>
        <v>0</v>
      </c>
    </row>
    <row r="6" spans="1:7" ht="19.5" customHeight="1">
      <c r="A6" s="43">
        <f>+A7-1</f>
        <v>2001</v>
      </c>
      <c r="B6" s="47"/>
      <c r="C6" s="47"/>
      <c r="D6" s="47">
        <f>+B6+C6</f>
        <v>0</v>
      </c>
      <c r="E6" s="47"/>
      <c r="F6" s="47"/>
      <c r="G6" s="47">
        <f>+D6-(E6-F6)</f>
        <v>0</v>
      </c>
    </row>
    <row r="7" spans="1:7" ht="19.5" customHeight="1">
      <c r="A7" s="43">
        <f>+A8-1</f>
        <v>2002</v>
      </c>
      <c r="B7" s="47"/>
      <c r="C7" s="47"/>
      <c r="D7" s="47">
        <f>+B7+C7</f>
        <v>0</v>
      </c>
      <c r="E7" s="47"/>
      <c r="F7" s="47"/>
      <c r="G7" s="47">
        <f>+D7-(E7-F7)</f>
        <v>0</v>
      </c>
    </row>
    <row r="8" spans="1:7" ht="19.5" customHeight="1" thickBot="1">
      <c r="A8" s="44">
        <f>'T1'!A2</f>
        <v>2003</v>
      </c>
      <c r="B8" s="45"/>
      <c r="C8" s="45"/>
      <c r="D8" s="45">
        <f>+B8+C8</f>
        <v>0</v>
      </c>
      <c r="E8" s="45"/>
      <c r="F8" s="49"/>
      <c r="G8" s="45">
        <f>+D8-(E8-F8)</f>
        <v>0</v>
      </c>
    </row>
    <row r="9" spans="1:7" ht="19.5" customHeight="1" thickTop="1">
      <c r="A9" s="46" t="s">
        <v>37</v>
      </c>
      <c r="B9" s="48" t="e">
        <f aca="true" t="shared" si="0" ref="B9:G9">ROUND(+AVERAGE(B4:B8),-1)</f>
        <v>#DIV/0!</v>
      </c>
      <c r="C9" s="48" t="e">
        <f t="shared" si="0"/>
        <v>#DIV/0!</v>
      </c>
      <c r="D9" s="48">
        <f t="shared" si="0"/>
        <v>0</v>
      </c>
      <c r="E9" s="48" t="e">
        <f t="shared" si="0"/>
        <v>#DIV/0!</v>
      </c>
      <c r="F9" s="48" t="e">
        <f t="shared" si="0"/>
        <v>#DIV/0!</v>
      </c>
      <c r="G9" s="48">
        <f t="shared" si="0"/>
        <v>0</v>
      </c>
    </row>
    <row r="11" spans="1:7" ht="12.75">
      <c r="A11" s="297" t="s">
        <v>559</v>
      </c>
      <c r="B11" s="297"/>
      <c r="C11" s="297"/>
      <c r="D11" s="297"/>
      <c r="E11" s="297"/>
      <c r="F11" s="297"/>
      <c r="G11" s="297"/>
    </row>
    <row r="12" spans="1:7" ht="12.75">
      <c r="A12" s="41"/>
      <c r="B12" s="299" t="s">
        <v>35</v>
      </c>
      <c r="C12" s="299"/>
      <c r="D12" s="299"/>
      <c r="E12" s="298" t="s">
        <v>3</v>
      </c>
      <c r="F12" s="298" t="s">
        <v>36</v>
      </c>
      <c r="G12" s="298" t="s">
        <v>561</v>
      </c>
    </row>
    <row r="13" spans="1:7" ht="39.75" customHeight="1">
      <c r="A13" s="42" t="s">
        <v>34</v>
      </c>
      <c r="B13" s="42" t="s">
        <v>53</v>
      </c>
      <c r="C13" s="42" t="s">
        <v>54</v>
      </c>
      <c r="D13" s="42" t="s">
        <v>4</v>
      </c>
      <c r="E13" s="298"/>
      <c r="F13" s="298"/>
      <c r="G13" s="298"/>
    </row>
    <row r="14" spans="1:7" ht="19.5" customHeight="1">
      <c r="A14" s="43">
        <f>+A15-1</f>
        <v>1999</v>
      </c>
      <c r="B14" s="47"/>
      <c r="C14" s="47"/>
      <c r="D14" s="47">
        <f>+B14+C14</f>
        <v>0</v>
      </c>
      <c r="E14" s="47"/>
      <c r="F14" s="47"/>
      <c r="G14" s="47">
        <f>+D14-(E14-F14)</f>
        <v>0</v>
      </c>
    </row>
    <row r="15" spans="1:7" ht="19.5" customHeight="1">
      <c r="A15" s="43">
        <f>+A16-1</f>
        <v>2000</v>
      </c>
      <c r="B15" s="47"/>
      <c r="C15" s="47"/>
      <c r="D15" s="47">
        <f>+B15+C15</f>
        <v>0</v>
      </c>
      <c r="E15" s="47"/>
      <c r="F15" s="47"/>
      <c r="G15" s="47">
        <f>+D15-(E15-F15)</f>
        <v>0</v>
      </c>
    </row>
    <row r="16" spans="1:7" ht="19.5" customHeight="1">
      <c r="A16" s="43">
        <f>+A17-1</f>
        <v>2001</v>
      </c>
      <c r="B16" s="47"/>
      <c r="C16" s="47"/>
      <c r="D16" s="47">
        <f>+B16+C16</f>
        <v>0</v>
      </c>
      <c r="E16" s="47"/>
      <c r="F16" s="47"/>
      <c r="G16" s="47">
        <f>+D16-(E16-F16)</f>
        <v>0</v>
      </c>
    </row>
    <row r="17" spans="1:7" ht="19.5" customHeight="1">
      <c r="A17" s="43">
        <f>+A18-1</f>
        <v>2002</v>
      </c>
      <c r="B17" s="47"/>
      <c r="C17" s="47"/>
      <c r="D17" s="47">
        <f>+B17+C17</f>
        <v>0</v>
      </c>
      <c r="E17" s="47"/>
      <c r="F17" s="47"/>
      <c r="G17" s="47">
        <f>+D17-(E17-F17)</f>
        <v>0</v>
      </c>
    </row>
    <row r="18" spans="1:7" ht="19.5" customHeight="1" thickBot="1">
      <c r="A18" s="44">
        <f>'T1'!A2</f>
        <v>2003</v>
      </c>
      <c r="B18" s="45"/>
      <c r="C18" s="45"/>
      <c r="D18" s="45">
        <f>+B18+C18</f>
        <v>0</v>
      </c>
      <c r="E18" s="45"/>
      <c r="F18" s="49"/>
      <c r="G18" s="45">
        <f>+D18-(E18-F18)</f>
        <v>0</v>
      </c>
    </row>
    <row r="19" spans="1:7" ht="19.5" customHeight="1" thickTop="1">
      <c r="A19" s="46" t="s">
        <v>37</v>
      </c>
      <c r="B19" s="48" t="e">
        <f aca="true" t="shared" si="1" ref="B19:G19">ROUND(+AVERAGE(B14:B18),-1)</f>
        <v>#DIV/0!</v>
      </c>
      <c r="C19" s="48" t="e">
        <f t="shared" si="1"/>
        <v>#DIV/0!</v>
      </c>
      <c r="D19" s="48">
        <f t="shared" si="1"/>
        <v>0</v>
      </c>
      <c r="E19" s="48" t="e">
        <f t="shared" si="1"/>
        <v>#DIV/0!</v>
      </c>
      <c r="F19" s="48" t="e">
        <f t="shared" si="1"/>
        <v>#DIV/0!</v>
      </c>
      <c r="G19" s="48">
        <f t="shared" si="1"/>
        <v>0</v>
      </c>
    </row>
  </sheetData>
  <sheetProtection/>
  <mergeCells count="10">
    <mergeCell ref="B12:D12"/>
    <mergeCell ref="E12:E13"/>
    <mergeCell ref="F12:F13"/>
    <mergeCell ref="G12:G13"/>
    <mergeCell ref="A1:G1"/>
    <mergeCell ref="E2:E3"/>
    <mergeCell ref="F2:F3"/>
    <mergeCell ref="G2:G3"/>
    <mergeCell ref="B2:D2"/>
    <mergeCell ref="A11:G11"/>
  </mergeCells>
  <printOptions/>
  <pageMargins left="0.75" right="0.75" top="1" bottom="1" header="0.5" footer="0.5"/>
  <pageSetup fitToHeight="1" fitToWidth="1" horizontalDpi="600" verticalDpi="600" orientation="landscape" r:id="rId1"/>
  <headerFooter alignWithMargins="0">
    <oddHeader>&amp;LRRCA 
Compact Accounting&amp;RPage &amp;P of &amp;N</oddHeader>
  </headerFooter>
</worksheet>
</file>

<file path=xl/worksheets/sheet22.xml><?xml version="1.0" encoding="utf-8"?>
<worksheet xmlns="http://schemas.openxmlformats.org/spreadsheetml/2006/main" xmlns:r="http://schemas.openxmlformats.org/officeDocument/2006/relationships">
  <sheetPr codeName="Sheet22">
    <pageSetUpPr fitToPage="1"/>
  </sheetPr>
  <dimension ref="A1:I14"/>
  <sheetViews>
    <sheetView zoomScalePageLayoutView="0" workbookViewId="0" topLeftCell="A1">
      <selection activeCell="A1" sqref="A1:I1"/>
    </sheetView>
  </sheetViews>
  <sheetFormatPr defaultColWidth="9.140625" defaultRowHeight="12.75"/>
  <cols>
    <col min="2" max="2" width="16.7109375" style="0" customWidth="1"/>
    <col min="3" max="3" width="18.140625" style="0" customWidth="1"/>
    <col min="4" max="4" width="14.421875" style="0" customWidth="1"/>
    <col min="5" max="7" width="12.7109375" style="0" customWidth="1"/>
    <col min="8" max="8" width="15.7109375" style="0" customWidth="1"/>
    <col min="9" max="9" width="17.140625" style="0" customWidth="1"/>
  </cols>
  <sheetData>
    <row r="1" spans="1:9" ht="12.75">
      <c r="A1" s="297" t="s">
        <v>63</v>
      </c>
      <c r="B1" s="297"/>
      <c r="C1" s="297"/>
      <c r="D1" s="297"/>
      <c r="E1" s="297"/>
      <c r="F1" s="297"/>
      <c r="G1" s="297"/>
      <c r="H1" s="297"/>
      <c r="I1" s="297"/>
    </row>
    <row r="2" spans="1:9" ht="12.75" customHeight="1">
      <c r="A2" s="41"/>
      <c r="B2" s="299" t="s">
        <v>35</v>
      </c>
      <c r="C2" s="299"/>
      <c r="D2" s="299"/>
      <c r="E2" s="300" t="s">
        <v>3</v>
      </c>
      <c r="F2" s="301"/>
      <c r="G2" s="302"/>
      <c r="H2" s="298" t="s">
        <v>62</v>
      </c>
      <c r="I2" s="298" t="s">
        <v>562</v>
      </c>
    </row>
    <row r="3" spans="1:9" ht="39.75" customHeight="1">
      <c r="A3" s="42" t="s">
        <v>34</v>
      </c>
      <c r="B3" s="42" t="s">
        <v>56</v>
      </c>
      <c r="C3" s="42" t="s">
        <v>57</v>
      </c>
      <c r="D3" s="42" t="s">
        <v>58</v>
      </c>
      <c r="E3" s="42" t="s">
        <v>59</v>
      </c>
      <c r="F3" s="42" t="s">
        <v>60</v>
      </c>
      <c r="G3" s="42" t="s">
        <v>61</v>
      </c>
      <c r="H3" s="298"/>
      <c r="I3" s="298"/>
    </row>
    <row r="4" spans="1:9" ht="19.5" customHeight="1">
      <c r="A4" s="43">
        <f>+A5-1</f>
        <v>2002</v>
      </c>
      <c r="B4" s="47"/>
      <c r="C4" s="47"/>
      <c r="D4" s="47">
        <f>+B4-C4</f>
        <v>0</v>
      </c>
      <c r="E4" s="47"/>
      <c r="F4" s="47"/>
      <c r="G4" s="47">
        <f>+E4-F4</f>
        <v>0</v>
      </c>
      <c r="H4" s="47"/>
      <c r="I4" s="47">
        <f>+D4-(G4-H4)</f>
        <v>0</v>
      </c>
    </row>
    <row r="5" spans="1:9" ht="19.5" customHeight="1" thickBot="1">
      <c r="A5" s="44">
        <f>'T1'!A2</f>
        <v>2003</v>
      </c>
      <c r="B5" s="45"/>
      <c r="C5" s="45"/>
      <c r="D5" s="45">
        <f>+B5-C5</f>
        <v>0</v>
      </c>
      <c r="E5" s="45"/>
      <c r="F5" s="45"/>
      <c r="G5" s="45">
        <f>+E5-F5</f>
        <v>0</v>
      </c>
      <c r="H5" s="49"/>
      <c r="I5" s="45">
        <f>+D5-(G5-H5)</f>
        <v>0</v>
      </c>
    </row>
    <row r="6" spans="1:9" ht="19.5" customHeight="1" thickTop="1">
      <c r="A6" s="46" t="s">
        <v>37</v>
      </c>
      <c r="B6" s="48" t="e">
        <f aca="true" t="shared" si="0" ref="B6:I6">ROUND(+AVERAGE(B4:B5),-1)</f>
        <v>#DIV/0!</v>
      </c>
      <c r="C6" s="48" t="e">
        <f t="shared" si="0"/>
        <v>#DIV/0!</v>
      </c>
      <c r="D6" s="48">
        <f t="shared" si="0"/>
        <v>0</v>
      </c>
      <c r="E6" s="48" t="e">
        <f t="shared" si="0"/>
        <v>#DIV/0!</v>
      </c>
      <c r="F6" s="48" t="e">
        <f t="shared" si="0"/>
        <v>#DIV/0!</v>
      </c>
      <c r="G6" s="48">
        <f t="shared" si="0"/>
        <v>0</v>
      </c>
      <c r="H6" s="48" t="e">
        <f t="shared" si="0"/>
        <v>#DIV/0!</v>
      </c>
      <c r="I6" s="48">
        <f t="shared" si="0"/>
        <v>0</v>
      </c>
    </row>
    <row r="8" spans="1:9" ht="12.75">
      <c r="A8" s="297" t="s">
        <v>560</v>
      </c>
      <c r="B8" s="297"/>
      <c r="C8" s="297"/>
      <c r="D8" s="297"/>
      <c r="E8" s="297"/>
      <c r="F8" s="297"/>
      <c r="G8" s="297"/>
      <c r="H8" s="297"/>
      <c r="I8" s="297"/>
    </row>
    <row r="9" spans="1:9" ht="12.75" customHeight="1">
      <c r="A9" s="41"/>
      <c r="B9" s="299" t="s">
        <v>35</v>
      </c>
      <c r="C9" s="299"/>
      <c r="D9" s="299"/>
      <c r="E9" s="300" t="s">
        <v>3</v>
      </c>
      <c r="F9" s="301"/>
      <c r="G9" s="302"/>
      <c r="H9" s="298" t="s">
        <v>62</v>
      </c>
      <c r="I9" s="298" t="s">
        <v>562</v>
      </c>
    </row>
    <row r="10" spans="1:9" ht="40.5" customHeight="1">
      <c r="A10" s="42" t="s">
        <v>34</v>
      </c>
      <c r="B10" s="42" t="s">
        <v>56</v>
      </c>
      <c r="C10" s="42" t="s">
        <v>57</v>
      </c>
      <c r="D10" s="42" t="s">
        <v>58</v>
      </c>
      <c r="E10" s="42" t="s">
        <v>59</v>
      </c>
      <c r="F10" s="42" t="s">
        <v>60</v>
      </c>
      <c r="G10" s="42" t="s">
        <v>61</v>
      </c>
      <c r="H10" s="298"/>
      <c r="I10" s="298"/>
    </row>
    <row r="11" spans="1:9" ht="19.5" customHeight="1">
      <c r="A11" s="50">
        <f>+A12-1</f>
        <v>2001</v>
      </c>
      <c r="B11" s="47"/>
      <c r="C11" s="47"/>
      <c r="D11" s="47">
        <f>+B11-C11</f>
        <v>0</v>
      </c>
      <c r="E11" s="47"/>
      <c r="F11" s="47"/>
      <c r="G11" s="47">
        <f>+E11-F11</f>
        <v>0</v>
      </c>
      <c r="H11" s="47"/>
      <c r="I11" s="47">
        <f>+D11-(G11-H11)</f>
        <v>0</v>
      </c>
    </row>
    <row r="12" spans="1:9" ht="19.5" customHeight="1">
      <c r="A12" s="50">
        <f>+A13-1</f>
        <v>2002</v>
      </c>
      <c r="B12" s="51"/>
      <c r="C12" s="51"/>
      <c r="D12" s="47">
        <f>+B12-C12</f>
        <v>0</v>
      </c>
      <c r="E12" s="51"/>
      <c r="F12" s="51"/>
      <c r="G12" s="47">
        <f>+E12-F12</f>
        <v>0</v>
      </c>
      <c r="H12" s="47"/>
      <c r="I12" s="47">
        <f>+D12-(G12-H12)</f>
        <v>0</v>
      </c>
    </row>
    <row r="13" spans="1:9" ht="19.5" customHeight="1" thickBot="1">
      <c r="A13" s="44">
        <f>'T1'!A2</f>
        <v>2003</v>
      </c>
      <c r="B13" s="45"/>
      <c r="C13" s="45"/>
      <c r="D13" s="45">
        <f>+B13-C13</f>
        <v>0</v>
      </c>
      <c r="E13" s="45"/>
      <c r="F13" s="45"/>
      <c r="G13" s="45">
        <f>+E13-F13</f>
        <v>0</v>
      </c>
      <c r="H13" s="49"/>
      <c r="I13" s="45">
        <f>+D13-(G13-H13)</f>
        <v>0</v>
      </c>
    </row>
    <row r="14" spans="1:9" ht="19.5" customHeight="1" thickTop="1">
      <c r="A14" s="46" t="s">
        <v>37</v>
      </c>
      <c r="B14" s="48" t="e">
        <f aca="true" t="shared" si="1" ref="B14:I14">ROUND(+AVERAGE(B11:B13),-1)</f>
        <v>#DIV/0!</v>
      </c>
      <c r="C14" s="48" t="e">
        <f t="shared" si="1"/>
        <v>#DIV/0!</v>
      </c>
      <c r="D14" s="48">
        <f t="shared" si="1"/>
        <v>0</v>
      </c>
      <c r="E14" s="48" t="e">
        <f t="shared" si="1"/>
        <v>#DIV/0!</v>
      </c>
      <c r="F14" s="48" t="e">
        <f t="shared" si="1"/>
        <v>#DIV/0!</v>
      </c>
      <c r="G14" s="48">
        <f t="shared" si="1"/>
        <v>0</v>
      </c>
      <c r="H14" s="48" t="e">
        <f t="shared" si="1"/>
        <v>#DIV/0!</v>
      </c>
      <c r="I14" s="48">
        <f t="shared" si="1"/>
        <v>0</v>
      </c>
    </row>
  </sheetData>
  <sheetProtection/>
  <mergeCells count="10">
    <mergeCell ref="B9:D9"/>
    <mergeCell ref="E9:G9"/>
    <mergeCell ref="H9:H10"/>
    <mergeCell ref="I9:I10"/>
    <mergeCell ref="A1:I1"/>
    <mergeCell ref="B2:D2"/>
    <mergeCell ref="H2:H3"/>
    <mergeCell ref="I2:I3"/>
    <mergeCell ref="E2:G2"/>
    <mergeCell ref="A8:I8"/>
  </mergeCells>
  <printOptions/>
  <pageMargins left="0.75" right="0.75" top="1" bottom="1" header="0.5" footer="0.5"/>
  <pageSetup fitToHeight="1" fitToWidth="1" horizontalDpi="600" verticalDpi="600" orientation="landscape" scale="95" r:id="rId1"/>
  <headerFooter alignWithMargins="0">
    <oddHeader>&amp;LRRCA
Compact Accounting&amp;RPage &amp;P of &amp;N</oddHeader>
  </headerFooter>
</worksheet>
</file>

<file path=xl/worksheets/sheet23.xml><?xml version="1.0" encoding="utf-8"?>
<worksheet xmlns="http://schemas.openxmlformats.org/spreadsheetml/2006/main" xmlns:r="http://schemas.openxmlformats.org/officeDocument/2006/relationships">
  <sheetPr codeName="Sheet23">
    <pageSetUpPr fitToPage="1"/>
  </sheetPr>
  <dimension ref="A1:R30"/>
  <sheetViews>
    <sheetView zoomScalePageLayoutView="0" workbookViewId="0" topLeftCell="A1">
      <selection activeCell="A1" sqref="A1"/>
    </sheetView>
  </sheetViews>
  <sheetFormatPr defaultColWidth="9.140625" defaultRowHeight="12.75"/>
  <cols>
    <col min="4" max="4" width="9.421875" style="0" customWidth="1"/>
  </cols>
  <sheetData>
    <row r="1" ht="12.75">
      <c r="A1" t="s">
        <v>501</v>
      </c>
    </row>
    <row r="3" spans="1:18" s="53" customFormat="1" ht="76.5">
      <c r="A3" s="42" t="s">
        <v>545</v>
      </c>
      <c r="B3" s="42" t="s">
        <v>64</v>
      </c>
      <c r="C3" s="42" t="s">
        <v>65</v>
      </c>
      <c r="D3" s="42" t="s">
        <v>66</v>
      </c>
      <c r="E3" s="42" t="s">
        <v>67</v>
      </c>
      <c r="F3" s="42" t="s">
        <v>68</v>
      </c>
      <c r="G3" s="42" t="s">
        <v>69</v>
      </c>
      <c r="H3" s="42" t="s">
        <v>70</v>
      </c>
      <c r="I3" s="42" t="s">
        <v>71</v>
      </c>
      <c r="J3" s="42" t="s">
        <v>72</v>
      </c>
      <c r="K3" s="42" t="s">
        <v>80</v>
      </c>
      <c r="L3" s="42" t="s">
        <v>73</v>
      </c>
      <c r="M3" s="42" t="s">
        <v>74</v>
      </c>
      <c r="N3" s="42" t="s">
        <v>75</v>
      </c>
      <c r="O3" s="42" t="s">
        <v>76</v>
      </c>
      <c r="P3" s="42" t="s">
        <v>77</v>
      </c>
      <c r="Q3" s="42" t="s">
        <v>78</v>
      </c>
      <c r="R3" s="42" t="s">
        <v>79</v>
      </c>
    </row>
    <row r="4" spans="1:18" s="36" customFormat="1" ht="12.75">
      <c r="A4" s="217">
        <f>MAINSTEM!B188</f>
        <v>168590</v>
      </c>
      <c r="B4" s="217">
        <f>INPUT!C196</f>
        <v>52394</v>
      </c>
      <c r="C4" s="217">
        <f>INPUT!C195</f>
        <v>21345.527439999998</v>
      </c>
      <c r="D4" s="217">
        <f>MAINSTEM!B58</f>
        <v>66500</v>
      </c>
      <c r="E4" s="217">
        <f>MAINSTEM!B56</f>
        <v>8174</v>
      </c>
      <c r="F4" s="217">
        <f>J9+J10</f>
        <v>11829.21214</v>
      </c>
      <c r="G4" s="217">
        <f>E4-J16</f>
        <v>4659.179999999999</v>
      </c>
      <c r="H4" s="217">
        <f>F4+G4</f>
        <v>16488.39214</v>
      </c>
      <c r="I4" s="218">
        <f>J20+J21-J22-J23+J24</f>
        <v>3730.5</v>
      </c>
      <c r="J4" s="218">
        <f>J28+J29+J30</f>
        <v>908</v>
      </c>
      <c r="K4" s="218">
        <f>I4+J4</f>
        <v>4638.5</v>
      </c>
      <c r="L4" s="218">
        <f>B4-C4+K4-H4</f>
        <v>19198.580420000002</v>
      </c>
      <c r="M4" s="218">
        <f>K4+L4</f>
        <v>23837.080420000002</v>
      </c>
      <c r="N4" s="218">
        <f>A4+M4</f>
        <v>192427.08042</v>
      </c>
      <c r="O4" s="218">
        <f>0.489*M4</f>
        <v>11656.33232538</v>
      </c>
      <c r="P4" s="218">
        <f>0.511*N4</f>
        <v>98330.23809462001</v>
      </c>
      <c r="Q4" s="218">
        <f>0.489*M4</f>
        <v>11656.33232538</v>
      </c>
      <c r="R4" s="218">
        <f>0.511*M4</f>
        <v>12180.748094620001</v>
      </c>
    </row>
    <row r="5" spans="1:8" ht="12.75">
      <c r="A5" s="19"/>
      <c r="B5" s="19"/>
      <c r="C5" s="19"/>
      <c r="D5" s="19"/>
      <c r="E5" s="19"/>
      <c r="F5" s="19"/>
      <c r="G5" s="19"/>
      <c r="H5" s="19"/>
    </row>
    <row r="8" spans="2:10" ht="12.75">
      <c r="B8" s="219" t="s">
        <v>81</v>
      </c>
      <c r="C8" s="220"/>
      <c r="D8" s="220"/>
      <c r="E8" s="220"/>
      <c r="F8" s="220"/>
      <c r="G8" s="220"/>
      <c r="H8" s="220"/>
      <c r="I8" s="220"/>
      <c r="J8" s="221"/>
    </row>
    <row r="9" spans="2:13" ht="12.75">
      <c r="B9" s="227" t="str">
        <f>MAINSTEM!A89</f>
        <v>Return Flow From Courtland Canal To Republican River Above Hardy From Kansas</v>
      </c>
      <c r="C9" s="228"/>
      <c r="D9" s="228"/>
      <c r="E9" s="228"/>
      <c r="F9" s="228"/>
      <c r="G9" s="228"/>
      <c r="H9" s="228"/>
      <c r="I9" s="229"/>
      <c r="J9" s="80">
        <f>MAINSTEM!B89</f>
        <v>779.28</v>
      </c>
      <c r="K9" s="66"/>
      <c r="L9" s="66"/>
      <c r="M9" s="66"/>
    </row>
    <row r="10" spans="2:13" ht="12.75">
      <c r="B10" s="224" t="s">
        <v>546</v>
      </c>
      <c r="C10" s="225"/>
      <c r="D10" s="225"/>
      <c r="E10" s="225"/>
      <c r="F10" s="225"/>
      <c r="G10" s="225"/>
      <c r="H10" s="225"/>
      <c r="I10" s="226"/>
      <c r="J10" s="230">
        <f>(J12-J13-J15)*0.82</f>
        <v>11049.932139999999</v>
      </c>
      <c r="K10" s="66"/>
      <c r="L10" s="66"/>
      <c r="M10" s="66"/>
    </row>
    <row r="11" spans="2:13" ht="12.75">
      <c r="B11" s="222"/>
      <c r="C11" s="1"/>
      <c r="D11" s="1"/>
      <c r="E11" s="1"/>
      <c r="F11" s="1"/>
      <c r="G11" s="1"/>
      <c r="H11" s="1"/>
      <c r="I11" s="223"/>
      <c r="J11" s="231"/>
      <c r="K11" s="66"/>
      <c r="L11" s="66"/>
      <c r="M11" s="66"/>
    </row>
    <row r="12" spans="2:13" ht="12.75">
      <c r="B12" s="219" t="str">
        <f>MAINSTEM!A58</f>
        <v>Courtland Canal Diversions At Headgate</v>
      </c>
      <c r="C12" s="220"/>
      <c r="D12" s="220"/>
      <c r="E12" s="220"/>
      <c r="F12" s="220"/>
      <c r="G12" s="220"/>
      <c r="H12" s="220"/>
      <c r="I12" s="232"/>
      <c r="J12" s="233">
        <f>MAINSTEM!B58</f>
        <v>66500</v>
      </c>
      <c r="K12" s="66"/>
      <c r="L12" s="66"/>
      <c r="M12" s="66"/>
    </row>
    <row r="13" spans="2:13" ht="12.75">
      <c r="B13" s="227" t="str">
        <f>MAINSTEM!A62</f>
        <v>Courtland Canal At Kansas-Nebraska State Line</v>
      </c>
      <c r="C13" s="228"/>
      <c r="D13" s="228"/>
      <c r="E13" s="228"/>
      <c r="F13" s="228"/>
      <c r="G13" s="228"/>
      <c r="H13" s="228"/>
      <c r="I13" s="229"/>
      <c r="J13" s="80">
        <f>MAINSTEM!B62</f>
        <v>51952</v>
      </c>
      <c r="K13" s="66"/>
      <c r="L13" s="66"/>
      <c r="M13" s="66"/>
    </row>
    <row r="14" spans="2:13" ht="12.75">
      <c r="B14" s="222"/>
      <c r="C14" s="1"/>
      <c r="D14" s="1"/>
      <c r="E14" s="1"/>
      <c r="F14" s="1"/>
      <c r="G14" s="1"/>
      <c r="H14" s="1"/>
      <c r="I14" s="223"/>
      <c r="J14" s="231"/>
      <c r="K14" s="66"/>
      <c r="L14" s="66"/>
      <c r="M14" s="66"/>
    </row>
    <row r="15" spans="2:13" ht="12.75">
      <c r="B15" s="227" t="str">
        <f>MAINSTEM!A120</f>
        <v>NE Courtland Canal CBCU (includes transportation loss)</v>
      </c>
      <c r="C15" s="228"/>
      <c r="D15" s="228"/>
      <c r="E15" s="228"/>
      <c r="F15" s="228"/>
      <c r="G15" s="228"/>
      <c r="H15" s="228"/>
      <c r="I15" s="229"/>
      <c r="J15" s="235">
        <f>MAINSTEM!B120</f>
        <v>1072.473</v>
      </c>
      <c r="K15" s="66"/>
      <c r="L15" s="66"/>
      <c r="M15" s="66"/>
    </row>
    <row r="16" spans="2:13" ht="12.75">
      <c r="B16" s="224" t="str">
        <f>MAINSTEM!A121</f>
        <v>Superior Canal CBCU</v>
      </c>
      <c r="C16" s="225"/>
      <c r="D16" s="225"/>
      <c r="E16" s="225"/>
      <c r="F16" s="225"/>
      <c r="G16" s="225"/>
      <c r="H16" s="225"/>
      <c r="I16" s="226"/>
      <c r="J16" s="230">
        <f>MAINSTEM!B121</f>
        <v>3514.8200000000006</v>
      </c>
      <c r="K16" s="66"/>
      <c r="L16" s="66"/>
      <c r="M16" s="66"/>
    </row>
    <row r="17" spans="2:13" ht="12.75">
      <c r="B17" s="1"/>
      <c r="C17" s="1"/>
      <c r="D17" s="1"/>
      <c r="E17" s="1"/>
      <c r="F17" s="1"/>
      <c r="G17" s="1"/>
      <c r="H17" s="1"/>
      <c r="I17" s="223"/>
      <c r="J17" s="240"/>
      <c r="K17" s="66"/>
      <c r="L17" s="66"/>
      <c r="M17" s="66"/>
    </row>
    <row r="18" spans="9:13" ht="12.75">
      <c r="I18" s="66"/>
      <c r="J18" s="215"/>
      <c r="K18" s="66"/>
      <c r="L18" s="66"/>
      <c r="M18" s="66"/>
    </row>
    <row r="19" spans="1:13" ht="12.75">
      <c r="A19" s="239"/>
      <c r="B19" s="227" t="s">
        <v>319</v>
      </c>
      <c r="C19" s="220"/>
      <c r="D19" s="220"/>
      <c r="E19" s="220"/>
      <c r="F19" s="220"/>
      <c r="G19" s="220"/>
      <c r="H19" s="220"/>
      <c r="I19" s="232"/>
      <c r="J19" s="236"/>
      <c r="K19" s="66"/>
      <c r="L19" s="66"/>
      <c r="M19" s="66"/>
    </row>
    <row r="20" spans="1:13" ht="12.75">
      <c r="A20" s="239"/>
      <c r="B20" s="227" t="str">
        <f>INPUT!B144</f>
        <v>SW Diversions - Irrigation - Small Pumps - Nebraska Below Guide Rock</v>
      </c>
      <c r="C20" s="228"/>
      <c r="D20" s="228"/>
      <c r="E20" s="228"/>
      <c r="F20" s="228"/>
      <c r="G20" s="228"/>
      <c r="H20" s="228"/>
      <c r="I20" s="229"/>
      <c r="J20" s="235">
        <f>INPUT!C144</f>
        <v>1562</v>
      </c>
      <c r="K20" s="66"/>
      <c r="L20" s="54"/>
      <c r="M20" s="66"/>
    </row>
    <row r="21" spans="1:13" ht="12.75">
      <c r="A21" s="239"/>
      <c r="B21" s="227" t="str">
        <f>INPUT!B145</f>
        <v>SW Diversions - M&amp;I - Nebraska - Below Guide Rock</v>
      </c>
      <c r="C21" s="228"/>
      <c r="D21" s="228"/>
      <c r="E21" s="228"/>
      <c r="F21" s="228"/>
      <c r="G21" s="228"/>
      <c r="H21" s="228"/>
      <c r="I21" s="229"/>
      <c r="J21" s="235">
        <f>INPUT!C145</f>
        <v>0</v>
      </c>
      <c r="K21" s="66"/>
      <c r="L21" s="54"/>
      <c r="M21" s="66"/>
    </row>
    <row r="22" spans="1:13" ht="12.75">
      <c r="A22" s="239"/>
      <c r="B22" s="227" t="s">
        <v>547</v>
      </c>
      <c r="C22" s="228"/>
      <c r="D22" s="228"/>
      <c r="E22" s="228"/>
      <c r="F22" s="228"/>
      <c r="G22" s="228"/>
      <c r="H22" s="228"/>
      <c r="I22" s="229"/>
      <c r="J22" s="17">
        <f>J20*(1-PumperCUPercent)</f>
        <v>390.5</v>
      </c>
      <c r="K22" s="66"/>
      <c r="L22" s="66"/>
      <c r="M22" s="66"/>
    </row>
    <row r="23" spans="1:13" ht="12.75">
      <c r="A23" s="239"/>
      <c r="B23" s="227" t="s">
        <v>548</v>
      </c>
      <c r="C23" s="228"/>
      <c r="D23" s="228"/>
      <c r="E23" s="228"/>
      <c r="F23" s="228"/>
      <c r="G23" s="228"/>
      <c r="H23" s="228"/>
      <c r="I23" s="229"/>
      <c r="J23" s="17">
        <f>J21*(1-MI_CUPercent)</f>
        <v>0</v>
      </c>
      <c r="K23" s="66"/>
      <c r="L23" s="66"/>
      <c r="M23" s="66"/>
    </row>
    <row r="24" spans="1:13" ht="12.75">
      <c r="A24" s="239"/>
      <c r="B24" s="224" t="str">
        <f>MAINSTEM!A9</f>
        <v>GW CBCU Nebraska Below Guide Rock</v>
      </c>
      <c r="C24" s="225"/>
      <c r="D24" s="225"/>
      <c r="E24" s="225"/>
      <c r="F24" s="225"/>
      <c r="G24" s="225"/>
      <c r="H24" s="225"/>
      <c r="I24" s="226"/>
      <c r="J24" s="234">
        <f>MAINSTEM!B9</f>
        <v>2559</v>
      </c>
      <c r="K24" s="66"/>
      <c r="L24" s="66"/>
      <c r="M24" s="66"/>
    </row>
    <row r="25" spans="9:13" ht="12.75">
      <c r="I25" s="66"/>
      <c r="J25" s="66"/>
      <c r="K25" s="66"/>
      <c r="L25" s="66"/>
      <c r="M25" s="66"/>
    </row>
    <row r="26" spans="9:13" ht="12.75">
      <c r="I26" s="66"/>
      <c r="J26" s="66"/>
      <c r="K26" s="66"/>
      <c r="L26" s="66"/>
      <c r="M26" s="66"/>
    </row>
    <row r="27" spans="1:10" ht="12.75">
      <c r="A27" s="239"/>
      <c r="B27" s="227" t="s">
        <v>549</v>
      </c>
      <c r="C27" s="220"/>
      <c r="D27" s="220"/>
      <c r="E27" s="220"/>
      <c r="F27" s="220"/>
      <c r="G27" s="220"/>
      <c r="H27" s="220"/>
      <c r="I27" s="220"/>
      <c r="J27" s="221"/>
    </row>
    <row r="28" spans="1:10" ht="12.75">
      <c r="A28" s="239"/>
      <c r="B28" s="227" t="str">
        <f>MAINSTEM!A112</f>
        <v>SW CBCU - Irrigation - Small Pumps</v>
      </c>
      <c r="C28" s="228"/>
      <c r="D28" s="228"/>
      <c r="E28" s="228"/>
      <c r="F28" s="228"/>
      <c r="G28" s="228"/>
      <c r="H28" s="228"/>
      <c r="I28" s="228"/>
      <c r="J28" s="238">
        <f>MAINSTEM!B112</f>
        <v>798</v>
      </c>
    </row>
    <row r="29" spans="1:10" ht="12.75">
      <c r="A29" s="239"/>
      <c r="B29" s="227" t="str">
        <f>MAINSTEM!A113</f>
        <v>SW CBCU - M&amp;I</v>
      </c>
      <c r="C29" s="228"/>
      <c r="D29" s="228"/>
      <c r="E29" s="228"/>
      <c r="F29" s="228"/>
      <c r="G29" s="228"/>
      <c r="H29" s="228"/>
      <c r="I29" s="228"/>
      <c r="J29" s="238">
        <f>MAINSTEM!B113</f>
        <v>0</v>
      </c>
    </row>
    <row r="30" spans="1:10" ht="12.75">
      <c r="A30" s="239"/>
      <c r="B30" s="224" t="str">
        <f>MAINSTEM!A7</f>
        <v>GW CBCU Kansas</v>
      </c>
      <c r="C30" s="225"/>
      <c r="D30" s="225"/>
      <c r="E30" s="225"/>
      <c r="F30" s="225"/>
      <c r="G30" s="225"/>
      <c r="H30" s="225"/>
      <c r="I30" s="225"/>
      <c r="J30" s="237">
        <f>MAINSTEM!B7</f>
        <v>110</v>
      </c>
    </row>
  </sheetData>
  <sheetProtection/>
  <printOptions/>
  <pageMargins left="0.48" right="0.43" top="1" bottom="1" header="0.5" footer="0.5"/>
  <pageSetup fitToHeight="1" fitToWidth="1" horizontalDpi="600" verticalDpi="600" orientation="landscape" scale="79" r:id="rId1"/>
  <headerFooter alignWithMargins="0">
    <oddHeader>&amp;LRRCA 
Compact Accounting&amp;RPage &amp;P of &amp;N</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K32"/>
  <sheetViews>
    <sheetView zoomScalePageLayoutView="0" workbookViewId="0" topLeftCell="A1">
      <selection activeCell="A1" sqref="A1"/>
    </sheetView>
  </sheetViews>
  <sheetFormatPr defaultColWidth="9.140625" defaultRowHeight="12.75"/>
  <cols>
    <col min="1" max="1" width="13.57421875" style="0" customWidth="1"/>
    <col min="2" max="2" width="10.00390625" style="0" customWidth="1"/>
    <col min="3" max="3" width="12.00390625" style="0" customWidth="1"/>
    <col min="4" max="4" width="10.8515625" style="0" customWidth="1"/>
    <col min="5" max="5" width="11.140625" style="0" customWidth="1"/>
    <col min="6" max="6" width="11.28125" style="0" customWidth="1"/>
    <col min="7" max="7" width="9.7109375" style="0" customWidth="1"/>
    <col min="8" max="8" width="10.7109375" style="0" customWidth="1"/>
    <col min="9" max="9" width="13.8515625" style="0" customWidth="1"/>
    <col min="10" max="10" width="10.7109375" style="0" customWidth="1"/>
    <col min="11" max="11" width="11.140625" style="0" customWidth="1"/>
  </cols>
  <sheetData>
    <row r="1" spans="1:2" ht="12.75">
      <c r="A1" s="124">
        <v>2003</v>
      </c>
      <c r="B1" s="125"/>
    </row>
    <row r="2" ht="12.75">
      <c r="A2" s="3" t="s">
        <v>434</v>
      </c>
    </row>
    <row r="4" spans="1:11" ht="12.75">
      <c r="A4" s="122" t="s">
        <v>435</v>
      </c>
      <c r="B4" s="126" t="s">
        <v>436</v>
      </c>
      <c r="C4" s="126" t="s">
        <v>437</v>
      </c>
      <c r="D4" s="126" t="s">
        <v>438</v>
      </c>
      <c r="E4" s="126" t="s">
        <v>439</v>
      </c>
      <c r="F4" s="126" t="s">
        <v>440</v>
      </c>
      <c r="G4" s="126" t="s">
        <v>441</v>
      </c>
      <c r="H4" s="126" t="s">
        <v>442</v>
      </c>
      <c r="I4" s="126" t="s">
        <v>443</v>
      </c>
      <c r="J4" s="126" t="s">
        <v>444</v>
      </c>
      <c r="K4" s="127" t="s">
        <v>445</v>
      </c>
    </row>
    <row r="5" spans="1:11" ht="12.75">
      <c r="A5" s="133" t="s">
        <v>332</v>
      </c>
      <c r="B5" s="134" t="s">
        <v>446</v>
      </c>
      <c r="C5" s="134" t="s">
        <v>447</v>
      </c>
      <c r="D5" s="134" t="s">
        <v>448</v>
      </c>
      <c r="E5" s="134" t="s">
        <v>449</v>
      </c>
      <c r="F5" s="134" t="s">
        <v>450</v>
      </c>
      <c r="G5" s="134" t="s">
        <v>451</v>
      </c>
      <c r="H5" s="134" t="s">
        <v>452</v>
      </c>
      <c r="I5" s="137" t="s">
        <v>458</v>
      </c>
      <c r="J5" s="134" t="s">
        <v>453</v>
      </c>
      <c r="K5" s="135" t="s">
        <v>454</v>
      </c>
    </row>
    <row r="6" spans="1:11" ht="12.75">
      <c r="A6" s="136"/>
      <c r="B6" s="137" t="s">
        <v>400</v>
      </c>
      <c r="C6" s="137" t="s">
        <v>455</v>
      </c>
      <c r="D6" s="137" t="s">
        <v>456</v>
      </c>
      <c r="E6" s="137"/>
      <c r="F6" s="137" t="s">
        <v>451</v>
      </c>
      <c r="G6" s="137"/>
      <c r="H6" s="137" t="s">
        <v>457</v>
      </c>
      <c r="I6" s="137" t="s">
        <v>462</v>
      </c>
      <c r="J6" s="137" t="s">
        <v>459</v>
      </c>
      <c r="K6" s="138" t="s">
        <v>460</v>
      </c>
    </row>
    <row r="7" spans="1:11" ht="12.75">
      <c r="A7" s="136"/>
      <c r="B7" s="137"/>
      <c r="C7" s="137"/>
      <c r="D7" s="137"/>
      <c r="E7" s="137"/>
      <c r="F7" s="137" t="s">
        <v>461</v>
      </c>
      <c r="G7" s="137"/>
      <c r="H7" s="137"/>
      <c r="I7" s="137" t="s">
        <v>464</v>
      </c>
      <c r="J7" s="137" t="s">
        <v>463</v>
      </c>
      <c r="K7" s="138" t="s">
        <v>332</v>
      </c>
    </row>
    <row r="8" spans="1:11" ht="12.75">
      <c r="A8" s="136"/>
      <c r="B8" s="137"/>
      <c r="C8" s="137"/>
      <c r="D8" s="137"/>
      <c r="E8" s="137"/>
      <c r="F8" s="137"/>
      <c r="G8" s="137"/>
      <c r="H8" s="137"/>
      <c r="I8" s="137" t="s">
        <v>466</v>
      </c>
      <c r="J8" s="137" t="s">
        <v>465</v>
      </c>
      <c r="K8" s="138" t="s">
        <v>400</v>
      </c>
    </row>
    <row r="9" spans="1:11" ht="12.75">
      <c r="A9" s="136"/>
      <c r="B9" s="137"/>
      <c r="C9" s="137"/>
      <c r="D9" s="137"/>
      <c r="E9" s="137"/>
      <c r="F9" s="137"/>
      <c r="G9" s="137"/>
      <c r="H9" s="137"/>
      <c r="I9" s="137" t="s">
        <v>467</v>
      </c>
      <c r="J9" s="137" t="s">
        <v>330</v>
      </c>
      <c r="K9" s="138"/>
    </row>
    <row r="10" spans="1:11" ht="12.75">
      <c r="A10" s="133" t="s">
        <v>468</v>
      </c>
      <c r="B10" s="134" t="s">
        <v>469</v>
      </c>
      <c r="C10" s="134" t="s">
        <v>470</v>
      </c>
      <c r="D10" s="134" t="s">
        <v>471</v>
      </c>
      <c r="E10" s="134" t="s">
        <v>472</v>
      </c>
      <c r="F10" s="134" t="s">
        <v>473</v>
      </c>
      <c r="G10" s="134" t="s">
        <v>474</v>
      </c>
      <c r="H10" s="134" t="s">
        <v>475</v>
      </c>
      <c r="I10" s="134" t="s">
        <v>476</v>
      </c>
      <c r="J10" s="134" t="s">
        <v>477</v>
      </c>
      <c r="K10" s="139" t="s">
        <v>478</v>
      </c>
    </row>
    <row r="11" spans="1:11" ht="12.75">
      <c r="A11" s="136"/>
      <c r="B11" s="137" t="s">
        <v>400</v>
      </c>
      <c r="C11" s="137" t="s">
        <v>479</v>
      </c>
      <c r="D11" s="137" t="s">
        <v>480</v>
      </c>
      <c r="E11" s="137"/>
      <c r="F11" s="137" t="s">
        <v>37</v>
      </c>
      <c r="G11" s="137" t="s">
        <v>440</v>
      </c>
      <c r="H11" s="137" t="s">
        <v>441</v>
      </c>
      <c r="I11" s="137" t="s">
        <v>481</v>
      </c>
      <c r="J11" s="137" t="s">
        <v>443</v>
      </c>
      <c r="K11" s="138"/>
    </row>
    <row r="12" spans="1:11" ht="12.75">
      <c r="A12" s="136"/>
      <c r="B12" s="137"/>
      <c r="C12" s="137" t="s">
        <v>482</v>
      </c>
      <c r="D12" s="137" t="s">
        <v>483</v>
      </c>
      <c r="E12" s="137"/>
      <c r="F12" s="137" t="s">
        <v>484</v>
      </c>
      <c r="G12" s="137"/>
      <c r="H12" s="137"/>
      <c r="I12" s="137"/>
      <c r="J12" s="137"/>
      <c r="K12" s="138"/>
    </row>
    <row r="13" spans="1:11" ht="12.75">
      <c r="A13" s="136"/>
      <c r="B13" s="137"/>
      <c r="C13" s="137"/>
      <c r="D13" s="137"/>
      <c r="E13" s="137"/>
      <c r="F13" s="137" t="s">
        <v>485</v>
      </c>
      <c r="G13" s="137"/>
      <c r="H13" s="137"/>
      <c r="I13" s="137"/>
      <c r="J13" s="137"/>
      <c r="K13" s="138"/>
    </row>
    <row r="14" spans="1:11" ht="12.75">
      <c r="A14" s="136"/>
      <c r="B14" s="137"/>
      <c r="C14" s="137"/>
      <c r="D14" s="137"/>
      <c r="E14" s="137"/>
      <c r="F14" s="137" t="s">
        <v>486</v>
      </c>
      <c r="G14" s="137"/>
      <c r="H14" s="137"/>
      <c r="I14" s="137"/>
      <c r="J14" s="137"/>
      <c r="K14" s="138"/>
    </row>
    <row r="15" spans="1:11" ht="12.75">
      <c r="A15" s="136"/>
      <c r="B15" s="137"/>
      <c r="C15" s="137"/>
      <c r="D15" s="137"/>
      <c r="E15" s="137"/>
      <c r="F15" s="137" t="s">
        <v>487</v>
      </c>
      <c r="G15" s="137"/>
      <c r="H15" s="137"/>
      <c r="I15" s="137"/>
      <c r="J15" s="137"/>
      <c r="K15" s="138"/>
    </row>
    <row r="16" spans="1:11" ht="12.75">
      <c r="A16" s="128" t="s">
        <v>488</v>
      </c>
      <c r="B16" s="129">
        <v>100</v>
      </c>
      <c r="C16" s="129">
        <v>5</v>
      </c>
      <c r="D16" s="129">
        <v>60</v>
      </c>
      <c r="E16" s="129">
        <f aca="true" t="shared" si="0" ref="E16:E30">B16-D16</f>
        <v>40</v>
      </c>
      <c r="F16" s="130">
        <v>0.3</v>
      </c>
      <c r="G16" s="129">
        <f aca="true" t="shared" si="1" ref="G16:G30">D16*F16</f>
        <v>18</v>
      </c>
      <c r="H16" s="129">
        <f aca="true" t="shared" si="2" ref="H16:H30">E16+G16</f>
        <v>58</v>
      </c>
      <c r="I16" s="130">
        <v>0.82</v>
      </c>
      <c r="J16" s="129">
        <f aca="true" t="shared" si="3" ref="J16:J30">H16*I16</f>
        <v>47.559999999999995</v>
      </c>
      <c r="K16" s="130">
        <f>J16/B16</f>
        <v>0.47559999999999997</v>
      </c>
    </row>
    <row r="17" spans="1:11" ht="12.75">
      <c r="A17" s="131" t="s">
        <v>489</v>
      </c>
      <c r="B17" s="18">
        <v>8002</v>
      </c>
      <c r="C17" s="4"/>
      <c r="D17" s="30">
        <v>3576</v>
      </c>
      <c r="E17" s="4">
        <f t="shared" si="0"/>
        <v>4426</v>
      </c>
      <c r="F17" s="20">
        <v>0.3</v>
      </c>
      <c r="G17" s="4">
        <f t="shared" si="1"/>
        <v>1072.8</v>
      </c>
      <c r="H17" s="4">
        <f t="shared" si="2"/>
        <v>5498.8</v>
      </c>
      <c r="I17" s="20">
        <v>0.82</v>
      </c>
      <c r="J17" s="4">
        <f t="shared" si="3"/>
        <v>4509.016</v>
      </c>
      <c r="K17" s="20">
        <f>J17/B17</f>
        <v>0.5634861284678829</v>
      </c>
    </row>
    <row r="18" spans="1:11" ht="27.75" customHeight="1">
      <c r="A18" s="131" t="s">
        <v>490</v>
      </c>
      <c r="B18" s="4">
        <v>0</v>
      </c>
      <c r="C18" s="4"/>
      <c r="D18" s="4">
        <v>0</v>
      </c>
      <c r="E18" s="4">
        <f t="shared" si="0"/>
        <v>0</v>
      </c>
      <c r="F18" s="20">
        <v>0.3</v>
      </c>
      <c r="G18" s="4">
        <f t="shared" si="1"/>
        <v>0</v>
      </c>
      <c r="H18" s="4">
        <f t="shared" si="2"/>
        <v>0</v>
      </c>
      <c r="I18" s="20">
        <v>0.82</v>
      </c>
      <c r="J18" s="4">
        <f t="shared" si="3"/>
        <v>0</v>
      </c>
      <c r="K18" s="20">
        <f aca="true" t="shared" si="4" ref="K18:K30">IF(B18&gt;0,J18/B18,1)</f>
        <v>1</v>
      </c>
    </row>
    <row r="19" spans="1:11" ht="25.5">
      <c r="A19" s="131" t="s">
        <v>491</v>
      </c>
      <c r="B19" s="4">
        <v>0</v>
      </c>
      <c r="C19" s="4"/>
      <c r="D19" s="4">
        <v>0</v>
      </c>
      <c r="E19" s="4">
        <f t="shared" si="0"/>
        <v>0</v>
      </c>
      <c r="F19" s="20">
        <v>0.3</v>
      </c>
      <c r="G19" s="4">
        <f t="shared" si="1"/>
        <v>0</v>
      </c>
      <c r="H19" s="4">
        <f t="shared" si="2"/>
        <v>0</v>
      </c>
      <c r="I19" s="20">
        <v>0.82</v>
      </c>
      <c r="J19" s="4">
        <f t="shared" si="3"/>
        <v>0</v>
      </c>
      <c r="K19" s="20">
        <f t="shared" si="4"/>
        <v>1</v>
      </c>
    </row>
    <row r="20" spans="1:11" ht="12.75">
      <c r="A20" s="131" t="s">
        <v>20</v>
      </c>
      <c r="B20" s="4">
        <v>0</v>
      </c>
      <c r="C20" s="4"/>
      <c r="D20" s="4">
        <v>0</v>
      </c>
      <c r="E20" s="4">
        <f t="shared" si="0"/>
        <v>0</v>
      </c>
      <c r="F20" s="20">
        <v>0.3</v>
      </c>
      <c r="G20" s="4">
        <f t="shared" si="1"/>
        <v>0</v>
      </c>
      <c r="H20" s="4">
        <f t="shared" si="2"/>
        <v>0</v>
      </c>
      <c r="I20" s="20">
        <v>0.82</v>
      </c>
      <c r="J20" s="4">
        <f t="shared" si="3"/>
        <v>0</v>
      </c>
      <c r="K20" s="20">
        <f t="shared" si="4"/>
        <v>1</v>
      </c>
    </row>
    <row r="21" spans="1:11" ht="12.75">
      <c r="A21" s="131" t="s">
        <v>492</v>
      </c>
      <c r="B21" s="4">
        <v>0</v>
      </c>
      <c r="C21" s="4"/>
      <c r="D21" s="4">
        <v>0</v>
      </c>
      <c r="E21" s="4">
        <f t="shared" si="0"/>
        <v>0</v>
      </c>
      <c r="F21" s="20">
        <v>0.3</v>
      </c>
      <c r="G21" s="4">
        <f t="shared" si="1"/>
        <v>0</v>
      </c>
      <c r="H21" s="4">
        <f t="shared" si="2"/>
        <v>0</v>
      </c>
      <c r="I21" s="20">
        <v>0.82</v>
      </c>
      <c r="J21" s="4">
        <f t="shared" si="3"/>
        <v>0</v>
      </c>
      <c r="K21" s="20">
        <f t="shared" si="4"/>
        <v>1</v>
      </c>
    </row>
    <row r="22" spans="1:11" ht="12.75">
      <c r="A22" s="131" t="s">
        <v>493</v>
      </c>
      <c r="B22" s="4">
        <v>18332</v>
      </c>
      <c r="C22" s="4"/>
      <c r="D22" s="4">
        <v>10023</v>
      </c>
      <c r="E22" s="4">
        <f t="shared" si="0"/>
        <v>8309</v>
      </c>
      <c r="F22" s="20">
        <v>0.3</v>
      </c>
      <c r="G22" s="4">
        <f t="shared" si="1"/>
        <v>3006.9</v>
      </c>
      <c r="H22" s="4">
        <f t="shared" si="2"/>
        <v>11315.9</v>
      </c>
      <c r="I22" s="20">
        <v>0.82</v>
      </c>
      <c r="J22" s="4">
        <f t="shared" si="3"/>
        <v>9279.037999999999</v>
      </c>
      <c r="K22" s="20">
        <f t="shared" si="4"/>
        <v>0.5061661575387301</v>
      </c>
    </row>
    <row r="23" spans="1:11" ht="12.75">
      <c r="A23" s="131" t="s">
        <v>494</v>
      </c>
      <c r="B23" s="4">
        <v>2162</v>
      </c>
      <c r="C23" s="4"/>
      <c r="D23" s="4">
        <v>1173</v>
      </c>
      <c r="E23" s="4">
        <f t="shared" si="0"/>
        <v>989</v>
      </c>
      <c r="F23" s="20">
        <v>0.35</v>
      </c>
      <c r="G23" s="4">
        <f t="shared" si="1"/>
        <v>410.54999999999995</v>
      </c>
      <c r="H23" s="4">
        <f t="shared" si="2"/>
        <v>1399.55</v>
      </c>
      <c r="I23" s="20">
        <v>0.82</v>
      </c>
      <c r="J23" s="4">
        <f t="shared" si="3"/>
        <v>1147.6309999999999</v>
      </c>
      <c r="K23" s="20">
        <f t="shared" si="4"/>
        <v>0.5308191489361701</v>
      </c>
    </row>
    <row r="24" spans="1:11" ht="12.75">
      <c r="A24" s="131" t="s">
        <v>495</v>
      </c>
      <c r="B24" s="4">
        <v>15262</v>
      </c>
      <c r="C24" s="4"/>
      <c r="D24" s="4">
        <v>5144</v>
      </c>
      <c r="E24" s="4">
        <f t="shared" si="0"/>
        <v>10118</v>
      </c>
      <c r="F24" s="20">
        <v>0.35</v>
      </c>
      <c r="G24" s="4">
        <f t="shared" si="1"/>
        <v>1800.3999999999999</v>
      </c>
      <c r="H24" s="4">
        <f t="shared" si="2"/>
        <v>11918.4</v>
      </c>
      <c r="I24" s="20">
        <v>0.82</v>
      </c>
      <c r="J24" s="4">
        <f t="shared" si="3"/>
        <v>9773.088</v>
      </c>
      <c r="K24" s="20">
        <f t="shared" si="4"/>
        <v>0.6403543441226576</v>
      </c>
    </row>
    <row r="25" spans="1:11" ht="12.75">
      <c r="A25" s="131" t="s">
        <v>496</v>
      </c>
      <c r="B25" s="4">
        <v>1687</v>
      </c>
      <c r="C25" s="4"/>
      <c r="D25" s="4">
        <v>793</v>
      </c>
      <c r="E25" s="4">
        <f t="shared" si="0"/>
        <v>894</v>
      </c>
      <c r="F25" s="20">
        <v>0.35</v>
      </c>
      <c r="G25" s="4">
        <f t="shared" si="1"/>
        <v>277.54999999999995</v>
      </c>
      <c r="H25" s="4">
        <f t="shared" si="2"/>
        <v>1171.55</v>
      </c>
      <c r="I25" s="20">
        <v>0.82</v>
      </c>
      <c r="J25" s="4">
        <f t="shared" si="3"/>
        <v>960.6709999999999</v>
      </c>
      <c r="K25" s="20">
        <f t="shared" si="4"/>
        <v>0.5694552459988145</v>
      </c>
    </row>
    <row r="26" spans="1:11" ht="12.75">
      <c r="A26" s="131" t="s">
        <v>497</v>
      </c>
      <c r="B26" s="4">
        <v>3379</v>
      </c>
      <c r="C26" s="4"/>
      <c r="D26" s="4">
        <v>1759</v>
      </c>
      <c r="E26" s="4">
        <f t="shared" si="0"/>
        <v>1620</v>
      </c>
      <c r="F26" s="20">
        <v>0.3</v>
      </c>
      <c r="G26" s="4">
        <f t="shared" si="1"/>
        <v>527.6999999999999</v>
      </c>
      <c r="H26" s="4">
        <f t="shared" si="2"/>
        <v>2147.7</v>
      </c>
      <c r="I26" s="20">
        <v>0.82</v>
      </c>
      <c r="J26" s="4">
        <f t="shared" si="3"/>
        <v>1761.1139999999998</v>
      </c>
      <c r="K26" s="20">
        <f t="shared" si="4"/>
        <v>0.5211938443326427</v>
      </c>
    </row>
    <row r="27" spans="1:11" ht="12.75">
      <c r="A27" s="131" t="s">
        <v>498</v>
      </c>
      <c r="B27" s="4">
        <v>8174</v>
      </c>
      <c r="C27" s="4"/>
      <c r="D27" s="4">
        <v>3622</v>
      </c>
      <c r="E27" s="4">
        <f t="shared" si="0"/>
        <v>4552</v>
      </c>
      <c r="F27" s="20">
        <v>0.31</v>
      </c>
      <c r="G27" s="4">
        <f t="shared" si="1"/>
        <v>1122.82</v>
      </c>
      <c r="H27" s="4">
        <f t="shared" si="2"/>
        <v>5674.82</v>
      </c>
      <c r="I27" s="20">
        <v>0.82</v>
      </c>
      <c r="J27" s="4">
        <f t="shared" si="3"/>
        <v>4653.3524</v>
      </c>
      <c r="K27" s="20">
        <f t="shared" si="4"/>
        <v>0.5692870565206752</v>
      </c>
    </row>
    <row r="28" spans="1:11" ht="25.5">
      <c r="A28" s="131" t="s">
        <v>528</v>
      </c>
      <c r="B28" s="4">
        <v>1591</v>
      </c>
      <c r="C28" s="4"/>
      <c r="D28" s="4">
        <v>1245</v>
      </c>
      <c r="E28" s="4">
        <f>B28-D28</f>
        <v>346</v>
      </c>
      <c r="F28" s="20">
        <v>0.23</v>
      </c>
      <c r="G28" s="4">
        <f>D28*F28</f>
        <v>286.35</v>
      </c>
      <c r="H28" s="4">
        <f>E28+G28</f>
        <v>632.35</v>
      </c>
      <c r="I28" s="20">
        <v>0.82</v>
      </c>
      <c r="J28" s="4">
        <f>H28*I28</f>
        <v>518.527</v>
      </c>
      <c r="K28" s="20">
        <f>IF(B28&gt;0,J28/B28,1)</f>
        <v>0.3259126335637964</v>
      </c>
    </row>
    <row r="29" spans="1:11" ht="39.75" customHeight="1">
      <c r="A29" s="131" t="s">
        <v>529</v>
      </c>
      <c r="B29" s="32">
        <v>17511</v>
      </c>
      <c r="C29" s="4"/>
      <c r="D29" s="32">
        <v>8375</v>
      </c>
      <c r="E29" s="4">
        <f t="shared" si="0"/>
        <v>9136</v>
      </c>
      <c r="F29" s="20">
        <v>0.23</v>
      </c>
      <c r="G29" s="4">
        <f t="shared" si="1"/>
        <v>1926.25</v>
      </c>
      <c r="H29" s="4">
        <f t="shared" si="2"/>
        <v>11062.25</v>
      </c>
      <c r="I29" s="20">
        <v>0.82</v>
      </c>
      <c r="J29" s="4">
        <f t="shared" si="3"/>
        <v>9071.045</v>
      </c>
      <c r="K29" s="20">
        <f t="shared" si="4"/>
        <v>0.5180198161155845</v>
      </c>
    </row>
    <row r="30" spans="1:11" ht="40.5" customHeight="1">
      <c r="A30" s="131" t="s">
        <v>499</v>
      </c>
      <c r="B30" s="4">
        <v>35606</v>
      </c>
      <c r="C30" s="4"/>
      <c r="D30" s="4">
        <v>20490</v>
      </c>
      <c r="E30" s="4">
        <f t="shared" si="0"/>
        <v>15116</v>
      </c>
      <c r="F30" s="20">
        <v>0.23</v>
      </c>
      <c r="G30" s="4">
        <f t="shared" si="1"/>
        <v>4712.7</v>
      </c>
      <c r="H30" s="4">
        <f t="shared" si="2"/>
        <v>19828.7</v>
      </c>
      <c r="I30" s="20">
        <v>0.82</v>
      </c>
      <c r="J30" s="4">
        <f t="shared" si="3"/>
        <v>16259.534</v>
      </c>
      <c r="K30" s="20">
        <f t="shared" si="4"/>
        <v>0.4566515194068415</v>
      </c>
    </row>
    <row r="32" spans="1:11" ht="25.5">
      <c r="A32" s="132" t="s">
        <v>500</v>
      </c>
      <c r="B32" s="132"/>
      <c r="C32" s="132"/>
      <c r="D32" s="132"/>
      <c r="E32" s="132"/>
      <c r="F32" s="132"/>
      <c r="G32" s="132"/>
      <c r="H32" s="132"/>
      <c r="I32" s="132"/>
      <c r="J32" s="132"/>
      <c r="K32" s="132"/>
    </row>
  </sheetData>
  <sheetProtection/>
  <printOptions/>
  <pageMargins left="0.57" right="0.54" top="0.75" bottom="0.38" header="0.25" footer="0.34"/>
  <pageSetup fitToHeight="1" fitToWidth="1" horizontalDpi="600" verticalDpi="600" orientation="landscape" r:id="rId1"/>
  <headerFooter alignWithMargins="0">
    <oddHeader>&amp;LRRCA 
Compact Accounting&amp;RPage &amp;P of &amp;N</oddHeader>
  </headerFooter>
</worksheet>
</file>

<file path=xl/worksheets/sheet25.xml><?xml version="1.0" encoding="utf-8"?>
<worksheet xmlns="http://schemas.openxmlformats.org/spreadsheetml/2006/main" xmlns:r="http://schemas.openxmlformats.org/officeDocument/2006/relationships">
  <dimension ref="A1:E31"/>
  <sheetViews>
    <sheetView zoomScalePageLayoutView="0" workbookViewId="0" topLeftCell="A1">
      <selection activeCell="A1" sqref="A1:E1"/>
    </sheetView>
  </sheetViews>
  <sheetFormatPr defaultColWidth="9.140625" defaultRowHeight="12.75"/>
  <cols>
    <col min="1" max="1" width="25.421875" style="0" customWidth="1"/>
    <col min="2" max="2" width="13.140625" style="0" customWidth="1"/>
    <col min="3" max="3" width="12.8515625" style="0" customWidth="1"/>
    <col min="4" max="4" width="11.57421875" style="0" customWidth="1"/>
    <col min="5" max="5" width="14.28125" style="0" customWidth="1"/>
  </cols>
  <sheetData>
    <row r="1" spans="1:5" ht="37.5" customHeight="1">
      <c r="A1" s="303" t="s">
        <v>267</v>
      </c>
      <c r="B1" s="304"/>
      <c r="C1" s="304"/>
      <c r="D1" s="304"/>
      <c r="E1" s="305"/>
    </row>
    <row r="2" spans="1:5" ht="13.5" customHeight="1">
      <c r="A2" s="306" t="s">
        <v>268</v>
      </c>
      <c r="B2" s="85" t="s">
        <v>0</v>
      </c>
      <c r="C2" s="85" t="s">
        <v>184</v>
      </c>
      <c r="D2" s="85" t="s">
        <v>1</v>
      </c>
      <c r="E2" s="85" t="s">
        <v>1</v>
      </c>
    </row>
    <row r="3" spans="1:5" ht="13.5" customHeight="1">
      <c r="A3" s="307"/>
      <c r="B3" s="86" t="s">
        <v>269</v>
      </c>
      <c r="C3" s="86" t="s">
        <v>269</v>
      </c>
      <c r="D3" s="86" t="s">
        <v>269</v>
      </c>
      <c r="E3" s="86" t="s">
        <v>270</v>
      </c>
    </row>
    <row r="4" spans="1:5" ht="13.5" customHeight="1">
      <c r="A4" s="87" t="s">
        <v>15</v>
      </c>
      <c r="B4" s="88">
        <v>242</v>
      </c>
      <c r="C4" s="88">
        <v>100</v>
      </c>
      <c r="D4" s="88">
        <v>508</v>
      </c>
      <c r="E4" s="88">
        <v>0</v>
      </c>
    </row>
    <row r="5" spans="1:5" ht="13.5" customHeight="1">
      <c r="A5" s="87" t="s">
        <v>22</v>
      </c>
      <c r="B5" s="88">
        <v>0</v>
      </c>
      <c r="C5" s="88">
        <v>274</v>
      </c>
      <c r="D5" s="88">
        <v>777</v>
      </c>
      <c r="E5" s="88">
        <v>0</v>
      </c>
    </row>
    <row r="6" spans="1:5" ht="13.5" customHeight="1">
      <c r="A6" s="87" t="s">
        <v>16</v>
      </c>
      <c r="B6" s="88">
        <v>265</v>
      </c>
      <c r="C6" s="88">
        <v>0</v>
      </c>
      <c r="D6" s="88">
        <v>3338</v>
      </c>
      <c r="E6" s="88">
        <v>0</v>
      </c>
    </row>
    <row r="7" spans="1:5" ht="13.5" customHeight="1">
      <c r="A7" s="87" t="s">
        <v>19</v>
      </c>
      <c r="B7" s="88">
        <v>0</v>
      </c>
      <c r="C7" s="88">
        <v>0</v>
      </c>
      <c r="D7" s="88">
        <v>1391</v>
      </c>
      <c r="E7" s="88">
        <v>0</v>
      </c>
    </row>
    <row r="8" spans="1:5" ht="13.5" customHeight="1">
      <c r="A8" s="87" t="s">
        <v>18</v>
      </c>
      <c r="B8" s="88">
        <v>37</v>
      </c>
      <c r="C8" s="88">
        <v>0</v>
      </c>
      <c r="D8" s="88">
        <v>81210</v>
      </c>
      <c r="E8" s="88">
        <v>0</v>
      </c>
    </row>
    <row r="9" spans="1:5" ht="13.5" customHeight="1">
      <c r="A9" s="87" t="s">
        <v>14</v>
      </c>
      <c r="B9" s="88">
        <v>14023</v>
      </c>
      <c r="C9" s="88">
        <v>17</v>
      </c>
      <c r="D9" s="88">
        <v>1402</v>
      </c>
      <c r="E9" s="88">
        <v>0</v>
      </c>
    </row>
    <row r="10" spans="1:5" ht="13.5" customHeight="1">
      <c r="A10" s="87" t="s">
        <v>271</v>
      </c>
      <c r="B10" s="88">
        <v>112</v>
      </c>
      <c r="C10" s="88">
        <v>-40</v>
      </c>
      <c r="D10" s="88">
        <v>17979</v>
      </c>
      <c r="E10" s="88">
        <v>0</v>
      </c>
    </row>
    <row r="11" spans="1:5" ht="13.5" customHeight="1">
      <c r="A11" s="87" t="s">
        <v>272</v>
      </c>
      <c r="B11" s="88">
        <v>0</v>
      </c>
      <c r="C11" s="88">
        <v>53</v>
      </c>
      <c r="D11" s="88">
        <v>27271</v>
      </c>
      <c r="E11" s="88">
        <v>144</v>
      </c>
    </row>
    <row r="12" spans="1:5" ht="13.5" customHeight="1">
      <c r="A12" s="87" t="s">
        <v>273</v>
      </c>
      <c r="B12" s="88">
        <v>0</v>
      </c>
      <c r="C12" s="88">
        <v>0</v>
      </c>
      <c r="D12" s="88">
        <v>27709</v>
      </c>
      <c r="E12" s="88">
        <v>181</v>
      </c>
    </row>
    <row r="13" spans="1:5" ht="13.5" customHeight="1">
      <c r="A13" s="87" t="s">
        <v>274</v>
      </c>
      <c r="B13" s="88">
        <v>0</v>
      </c>
      <c r="C13" s="88">
        <v>59</v>
      </c>
      <c r="D13" s="88">
        <v>2559</v>
      </c>
      <c r="E13" s="88">
        <v>0</v>
      </c>
    </row>
    <row r="14" spans="1:5" ht="13.5" customHeight="1">
      <c r="A14" s="87" t="s">
        <v>21</v>
      </c>
      <c r="B14" s="88">
        <v>0</v>
      </c>
      <c r="C14" s="88">
        <v>0</v>
      </c>
      <c r="D14" s="88">
        <v>20684</v>
      </c>
      <c r="E14" s="88">
        <v>9423</v>
      </c>
    </row>
    <row r="15" spans="1:5" ht="13.5" customHeight="1">
      <c r="A15" s="87" t="s">
        <v>24</v>
      </c>
      <c r="B15" s="88">
        <f>+B22</f>
        <v>0</v>
      </c>
      <c r="C15" s="88">
        <v>1137</v>
      </c>
      <c r="D15" s="88">
        <v>0</v>
      </c>
      <c r="E15" s="88">
        <v>0</v>
      </c>
    </row>
    <row r="16" spans="1:5" ht="13.5" customHeight="1">
      <c r="A16" s="87" t="s">
        <v>20</v>
      </c>
      <c r="B16" s="88">
        <v>0</v>
      </c>
      <c r="C16" s="88">
        <v>0</v>
      </c>
      <c r="D16" s="88">
        <v>6056</v>
      </c>
      <c r="E16" s="88">
        <v>20</v>
      </c>
    </row>
    <row r="17" spans="1:5" ht="13.5" customHeight="1">
      <c r="A17" s="87" t="s">
        <v>5</v>
      </c>
      <c r="B17" s="88">
        <v>59</v>
      </c>
      <c r="C17" s="88">
        <v>0</v>
      </c>
      <c r="D17" s="88">
        <v>3419</v>
      </c>
      <c r="E17" s="88">
        <v>0</v>
      </c>
    </row>
    <row r="18" spans="1:5" ht="13.5" customHeight="1">
      <c r="A18" s="87" t="s">
        <v>23</v>
      </c>
      <c r="B18" s="88">
        <v>0</v>
      </c>
      <c r="C18" s="88">
        <v>-274</v>
      </c>
      <c r="D18" s="88">
        <v>500</v>
      </c>
      <c r="E18" s="88">
        <v>0</v>
      </c>
    </row>
    <row r="19" spans="1:5" ht="13.5" customHeight="1">
      <c r="A19" s="87" t="s">
        <v>17</v>
      </c>
      <c r="B19" s="88">
        <v>10790</v>
      </c>
      <c r="C19" s="88">
        <v>5351</v>
      </c>
      <c r="D19" s="88">
        <v>1347</v>
      </c>
      <c r="E19" s="88">
        <v>0</v>
      </c>
    </row>
    <row r="20" spans="1:5" ht="13.5" customHeight="1">
      <c r="A20" s="87" t="s">
        <v>275</v>
      </c>
      <c r="B20" s="88">
        <v>0</v>
      </c>
      <c r="C20" s="88">
        <v>0</v>
      </c>
      <c r="D20" s="88">
        <v>1759</v>
      </c>
      <c r="E20" s="88">
        <v>0</v>
      </c>
    </row>
    <row r="21" spans="1:5" ht="13.5" customHeight="1">
      <c r="A21" s="87" t="s">
        <v>276</v>
      </c>
      <c r="B21" s="88">
        <v>1325</v>
      </c>
      <c r="C21" s="88">
        <v>0</v>
      </c>
      <c r="D21" s="88">
        <v>0</v>
      </c>
      <c r="E21" s="88">
        <v>0</v>
      </c>
    </row>
    <row r="22" spans="1:5" ht="13.5" customHeight="1">
      <c r="A22" s="87" t="s">
        <v>277</v>
      </c>
      <c r="B22" s="88">
        <v>0</v>
      </c>
      <c r="C22" s="88">
        <v>542</v>
      </c>
      <c r="D22" s="88">
        <v>0</v>
      </c>
      <c r="E22" s="88">
        <v>0</v>
      </c>
    </row>
    <row r="23" spans="1:5" ht="13.5" customHeight="1">
      <c r="A23" s="87" t="s">
        <v>278</v>
      </c>
      <c r="B23" s="88">
        <v>0</v>
      </c>
      <c r="C23" s="88">
        <v>0</v>
      </c>
      <c r="D23" s="88">
        <v>4437</v>
      </c>
      <c r="E23" s="88">
        <v>0</v>
      </c>
    </row>
    <row r="24" spans="1:5" ht="13.5" customHeight="1">
      <c r="A24" s="87" t="s">
        <v>279</v>
      </c>
      <c r="B24" s="88">
        <v>0</v>
      </c>
      <c r="C24" s="88">
        <v>38</v>
      </c>
      <c r="D24" s="88">
        <v>881</v>
      </c>
      <c r="E24" s="88">
        <v>12</v>
      </c>
    </row>
    <row r="25" spans="1:5" ht="13.5" customHeight="1">
      <c r="A25" s="87" t="s">
        <v>280</v>
      </c>
      <c r="B25" s="88">
        <v>0</v>
      </c>
      <c r="C25" s="88">
        <v>0</v>
      </c>
      <c r="D25" s="88">
        <v>455</v>
      </c>
      <c r="E25" s="88">
        <v>0</v>
      </c>
    </row>
    <row r="26" spans="1:5" ht="13.5" customHeight="1">
      <c r="A26" s="87" t="s">
        <v>281</v>
      </c>
      <c r="B26" s="88">
        <v>20</v>
      </c>
      <c r="C26" s="88">
        <v>0</v>
      </c>
      <c r="D26" s="88">
        <v>483</v>
      </c>
      <c r="E26" s="88">
        <v>0</v>
      </c>
    </row>
    <row r="27" spans="1:5" ht="13.5" customHeight="1">
      <c r="A27" s="89" t="s">
        <v>282</v>
      </c>
      <c r="B27" s="90">
        <v>108</v>
      </c>
      <c r="C27" s="90">
        <v>77</v>
      </c>
      <c r="D27" s="90">
        <v>75517</v>
      </c>
      <c r="E27" s="90">
        <v>320</v>
      </c>
    </row>
    <row r="28" spans="1:5" ht="13.5" customHeight="1">
      <c r="A28" s="213" t="s">
        <v>4</v>
      </c>
      <c r="B28" s="85">
        <v>26872</v>
      </c>
      <c r="C28" s="85">
        <v>7274</v>
      </c>
      <c r="D28" s="85">
        <v>204164</v>
      </c>
      <c r="E28" s="85">
        <v>9782</v>
      </c>
    </row>
    <row r="29" spans="1:5" ht="25.5">
      <c r="A29" s="214" t="s">
        <v>283</v>
      </c>
      <c r="B29" s="2">
        <f>B10+B11+B12+B13+B24+B26</f>
        <v>132</v>
      </c>
      <c r="C29" s="2">
        <f>C10+C11+C12+C13+C24+C26</f>
        <v>110</v>
      </c>
      <c r="D29" s="2">
        <f>D10+D11+D12+D13+D24+D26</f>
        <v>76882</v>
      </c>
      <c r="E29" s="2">
        <f>E10+E11+E12+E13+E24+E26</f>
        <v>337</v>
      </c>
    </row>
    <row r="30" spans="1:5" ht="12.75">
      <c r="A30" s="214" t="s">
        <v>286</v>
      </c>
      <c r="B30" s="2"/>
      <c r="C30" s="2"/>
      <c r="D30" s="2">
        <f>D29-D13</f>
        <v>74323</v>
      </c>
      <c r="E30" s="2">
        <f>E29-E13</f>
        <v>337</v>
      </c>
    </row>
    <row r="31" spans="1:5" ht="12.75">
      <c r="A31" s="214" t="s">
        <v>287</v>
      </c>
      <c r="B31" s="2">
        <f>SUM(B4:B26)</f>
        <v>26873</v>
      </c>
      <c r="C31" s="2">
        <f>SUM(C4:C26)</f>
        <v>7257</v>
      </c>
      <c r="D31" s="2">
        <f>SUM(D4:D26)</f>
        <v>204165</v>
      </c>
      <c r="E31" s="2">
        <f>SUM(E4:E26)</f>
        <v>9780</v>
      </c>
    </row>
  </sheetData>
  <sheetProtection/>
  <mergeCells count="2">
    <mergeCell ref="A1:E1"/>
    <mergeCell ref="A2:A3"/>
  </mergeCells>
  <printOptions/>
  <pageMargins left="0.75" right="0.75" top="1" bottom="1" header="0.5" footer="0.5"/>
  <pageSetup horizontalDpi="600" verticalDpi="600" orientation="portrait" r:id="rId1"/>
  <headerFooter alignWithMargins="0">
    <oddHeader>&amp;LRRCA
Compact Accounting&amp;CGround Water Model Output&amp;RPage &amp;P of &amp;N</oddHeader>
  </headerFooter>
</worksheet>
</file>

<file path=xl/worksheets/sheet26.xml><?xml version="1.0" encoding="utf-8"?>
<worksheet xmlns="http://schemas.openxmlformats.org/spreadsheetml/2006/main" xmlns:r="http://schemas.openxmlformats.org/officeDocument/2006/relationships">
  <sheetPr>
    <pageSetUpPr fitToPage="1"/>
  </sheetPr>
  <dimension ref="A1:S28"/>
  <sheetViews>
    <sheetView zoomScale="75" zoomScaleNormal="75" zoomScalePageLayoutView="0" workbookViewId="0" topLeftCell="A1">
      <selection activeCell="A1" sqref="A1"/>
    </sheetView>
  </sheetViews>
  <sheetFormatPr defaultColWidth="9.140625" defaultRowHeight="12.75"/>
  <cols>
    <col min="1" max="1" width="17.28125" style="245" customWidth="1"/>
    <col min="2" max="10" width="9.28125" style="245" bestFit="1" customWidth="1"/>
    <col min="11" max="11" width="12.8515625" style="245" customWidth="1"/>
    <col min="12" max="12" width="11.7109375" style="245" customWidth="1"/>
    <col min="13" max="14" width="11.00390625" style="245" customWidth="1"/>
    <col min="15" max="16" width="9.28125" style="245" bestFit="1" customWidth="1"/>
    <col min="17" max="17" width="13.28125" style="245" customWidth="1"/>
    <col min="18" max="18" width="13.421875" style="245" customWidth="1"/>
    <col min="19" max="19" width="11.28125" style="245" customWidth="1"/>
    <col min="20" max="16384" width="9.140625" style="245" customWidth="1"/>
  </cols>
  <sheetData>
    <row r="1" spans="1:19" ht="15">
      <c r="A1" s="241"/>
      <c r="B1" s="242"/>
      <c r="C1" s="242"/>
      <c r="D1" s="242"/>
      <c r="E1" s="242"/>
      <c r="F1" s="242"/>
      <c r="G1" s="242"/>
      <c r="H1" s="242"/>
      <c r="I1" s="242"/>
      <c r="J1" s="243" t="s">
        <v>292</v>
      </c>
      <c r="K1" s="242"/>
      <c r="L1" s="242"/>
      <c r="M1" s="242"/>
      <c r="N1" s="242"/>
      <c r="O1" s="244" t="s">
        <v>525</v>
      </c>
      <c r="Q1" s="242"/>
      <c r="R1" s="242"/>
      <c r="S1" s="242"/>
    </row>
    <row r="2" spans="1:19" ht="14.25">
      <c r="A2" s="241"/>
      <c r="B2" s="242"/>
      <c r="C2" s="242"/>
      <c r="D2" s="242"/>
      <c r="E2" s="242"/>
      <c r="F2" s="242"/>
      <c r="G2" s="242"/>
      <c r="H2" s="242"/>
      <c r="I2" s="242"/>
      <c r="J2" s="242"/>
      <c r="K2" s="242"/>
      <c r="L2" s="242"/>
      <c r="M2" s="242"/>
      <c r="N2" s="242"/>
      <c r="O2" s="242">
        <v>2003</v>
      </c>
      <c r="P2" s="242"/>
      <c r="Q2" s="242"/>
      <c r="R2" s="242"/>
      <c r="S2" s="242"/>
    </row>
    <row r="3" spans="1:19" ht="14.25">
      <c r="A3" s="246">
        <v>1</v>
      </c>
      <c r="B3" s="246">
        <v>2</v>
      </c>
      <c r="C3" s="246">
        <v>3</v>
      </c>
      <c r="D3" s="246">
        <v>4</v>
      </c>
      <c r="E3" s="246">
        <v>5</v>
      </c>
      <c r="F3" s="246">
        <v>6</v>
      </c>
      <c r="G3" s="246">
        <v>7</v>
      </c>
      <c r="H3" s="246">
        <v>8</v>
      </c>
      <c r="I3" s="246">
        <v>9</v>
      </c>
      <c r="J3" s="246">
        <v>10</v>
      </c>
      <c r="K3" s="246">
        <v>11</v>
      </c>
      <c r="L3" s="246">
        <v>12</v>
      </c>
      <c r="M3" s="246">
        <v>13</v>
      </c>
      <c r="N3" s="246">
        <v>14</v>
      </c>
      <c r="O3" s="246">
        <v>15</v>
      </c>
      <c r="P3" s="246">
        <v>16</v>
      </c>
      <c r="Q3" s="246">
        <v>17</v>
      </c>
      <c r="R3" s="246">
        <v>18</v>
      </c>
      <c r="S3" s="246">
        <v>19</v>
      </c>
    </row>
    <row r="4" spans="1:19" ht="15" thickBot="1">
      <c r="A4" s="247"/>
      <c r="B4" s="246" t="s">
        <v>293</v>
      </c>
      <c r="C4" s="246" t="s">
        <v>293</v>
      </c>
      <c r="D4" s="246" t="s">
        <v>294</v>
      </c>
      <c r="E4" s="246" t="s">
        <v>295</v>
      </c>
      <c r="F4" s="246" t="s">
        <v>296</v>
      </c>
      <c r="G4" s="246" t="s">
        <v>294</v>
      </c>
      <c r="H4" s="246" t="s">
        <v>293</v>
      </c>
      <c r="I4" s="246" t="s">
        <v>297</v>
      </c>
      <c r="J4" s="246" t="s">
        <v>298</v>
      </c>
      <c r="K4" s="246" t="s">
        <v>299</v>
      </c>
      <c r="L4" s="246" t="s">
        <v>300</v>
      </c>
      <c r="M4" s="246" t="s">
        <v>301</v>
      </c>
      <c r="N4" s="246" t="s">
        <v>302</v>
      </c>
      <c r="O4" s="246" t="s">
        <v>303</v>
      </c>
      <c r="P4" s="246" t="s">
        <v>304</v>
      </c>
      <c r="Q4" s="246" t="s">
        <v>305</v>
      </c>
      <c r="R4" s="246" t="s">
        <v>306</v>
      </c>
      <c r="S4" s="246" t="s">
        <v>307</v>
      </c>
    </row>
    <row r="5" spans="1:19" ht="15">
      <c r="A5" s="248"/>
      <c r="B5" s="248"/>
      <c r="C5" s="248"/>
      <c r="D5" s="248"/>
      <c r="E5" s="248"/>
      <c r="F5" s="248"/>
      <c r="G5" s="248"/>
      <c r="H5" s="248"/>
      <c r="I5" s="248"/>
      <c r="J5" s="248"/>
      <c r="K5" s="249"/>
      <c r="L5" s="250"/>
      <c r="M5" s="251" t="s">
        <v>308</v>
      </c>
      <c r="N5" s="252"/>
      <c r="O5" s="252"/>
      <c r="P5" s="249"/>
      <c r="Q5" s="251" t="s">
        <v>309</v>
      </c>
      <c r="R5" s="252"/>
      <c r="S5" s="253" t="s">
        <v>310</v>
      </c>
    </row>
    <row r="6" spans="1:19" ht="15.75" thickBot="1">
      <c r="A6" s="254"/>
      <c r="B6" s="254"/>
      <c r="C6" s="254"/>
      <c r="D6" s="254"/>
      <c r="E6" s="254"/>
      <c r="F6" s="254"/>
      <c r="G6" s="254"/>
      <c r="H6" s="254"/>
      <c r="I6" s="254"/>
      <c r="J6" s="254"/>
      <c r="K6" s="255"/>
      <c r="L6" s="256"/>
      <c r="M6" s="243" t="s">
        <v>311</v>
      </c>
      <c r="N6" s="242"/>
      <c r="O6" s="242"/>
      <c r="P6" s="255"/>
      <c r="Q6" s="243" t="s">
        <v>308</v>
      </c>
      <c r="R6" s="242"/>
      <c r="S6" s="257"/>
    </row>
    <row r="7" spans="1:19" ht="15">
      <c r="A7" s="241"/>
      <c r="B7" s="241"/>
      <c r="C7" s="241"/>
      <c r="D7" s="241"/>
      <c r="E7" s="241"/>
      <c r="F7" s="241"/>
      <c r="G7" s="241"/>
      <c r="H7" s="241"/>
      <c r="I7" s="241"/>
      <c r="J7" s="254"/>
      <c r="K7" s="249"/>
      <c r="L7" s="250" t="s">
        <v>312</v>
      </c>
      <c r="M7" s="251"/>
      <c r="N7" s="249" t="s">
        <v>313</v>
      </c>
      <c r="O7" s="252"/>
      <c r="P7" s="255"/>
      <c r="Q7" s="243" t="s">
        <v>314</v>
      </c>
      <c r="R7" s="242"/>
      <c r="S7" s="257" t="s">
        <v>315</v>
      </c>
    </row>
    <row r="8" spans="1:19" ht="15.75" thickBot="1">
      <c r="A8" s="241"/>
      <c r="B8" s="241"/>
      <c r="C8" s="241"/>
      <c r="D8" s="258" t="s">
        <v>316</v>
      </c>
      <c r="E8" s="241"/>
      <c r="F8" s="241"/>
      <c r="G8" s="258" t="s">
        <v>317</v>
      </c>
      <c r="H8" s="258" t="s">
        <v>318</v>
      </c>
      <c r="I8" s="241"/>
      <c r="J8" s="254"/>
      <c r="K8" s="255"/>
      <c r="L8" s="256" t="s">
        <v>319</v>
      </c>
      <c r="M8" s="243"/>
      <c r="N8" s="255" t="s">
        <v>320</v>
      </c>
      <c r="O8" s="242"/>
      <c r="P8" s="255"/>
      <c r="Q8" s="243" t="s">
        <v>321</v>
      </c>
      <c r="R8" s="242"/>
      <c r="S8" s="257" t="s">
        <v>322</v>
      </c>
    </row>
    <row r="9" spans="1:19" ht="15">
      <c r="A9" s="241"/>
      <c r="B9" s="241"/>
      <c r="C9" s="241"/>
      <c r="D9" s="258" t="s">
        <v>323</v>
      </c>
      <c r="E9" s="258" t="s">
        <v>4</v>
      </c>
      <c r="F9" s="258" t="s">
        <v>4</v>
      </c>
      <c r="G9" s="258" t="s">
        <v>323</v>
      </c>
      <c r="H9" s="258" t="s">
        <v>324</v>
      </c>
      <c r="I9" s="258" t="s">
        <v>4</v>
      </c>
      <c r="J9" s="258" t="s">
        <v>4</v>
      </c>
      <c r="K9" s="249"/>
      <c r="L9" s="250" t="s">
        <v>325</v>
      </c>
      <c r="M9" s="251"/>
      <c r="N9" s="249" t="s">
        <v>326</v>
      </c>
      <c r="O9" s="252"/>
      <c r="P9" s="249"/>
      <c r="Q9" s="250" t="s">
        <v>325</v>
      </c>
      <c r="R9" s="251"/>
      <c r="S9" s="257" t="s">
        <v>327</v>
      </c>
    </row>
    <row r="10" spans="1:19" ht="14.25">
      <c r="A10" s="241"/>
      <c r="B10" s="258"/>
      <c r="C10" s="258"/>
      <c r="D10" s="258" t="s">
        <v>328</v>
      </c>
      <c r="E10" s="258" t="s">
        <v>329</v>
      </c>
      <c r="F10" s="258" t="s">
        <v>330</v>
      </c>
      <c r="G10" s="258" t="s">
        <v>328</v>
      </c>
      <c r="H10" s="258" t="s">
        <v>331</v>
      </c>
      <c r="I10" s="258" t="s">
        <v>329</v>
      </c>
      <c r="J10" s="258" t="s">
        <v>330</v>
      </c>
      <c r="K10" s="255"/>
      <c r="L10" s="256" t="s">
        <v>332</v>
      </c>
      <c r="M10" s="242"/>
      <c r="N10" s="255" t="s">
        <v>333</v>
      </c>
      <c r="O10" s="242"/>
      <c r="P10" s="255"/>
      <c r="Q10" s="256" t="s">
        <v>332</v>
      </c>
      <c r="R10" s="242"/>
      <c r="S10" s="257" t="s">
        <v>315</v>
      </c>
    </row>
    <row r="11" spans="1:19" ht="15" thickBot="1">
      <c r="A11" s="241"/>
      <c r="B11" s="258" t="s">
        <v>334</v>
      </c>
      <c r="C11" s="258" t="s">
        <v>334</v>
      </c>
      <c r="D11" s="258" t="s">
        <v>335</v>
      </c>
      <c r="E11" s="258" t="s">
        <v>336</v>
      </c>
      <c r="F11" s="258" t="s">
        <v>337</v>
      </c>
      <c r="G11" s="258" t="s">
        <v>335</v>
      </c>
      <c r="H11" s="258" t="s">
        <v>334</v>
      </c>
      <c r="I11" s="258" t="s">
        <v>336</v>
      </c>
      <c r="J11" s="258" t="s">
        <v>337</v>
      </c>
      <c r="K11" s="255"/>
      <c r="L11" s="256" t="s">
        <v>338</v>
      </c>
      <c r="M11" s="242"/>
      <c r="N11" s="255" t="s">
        <v>339</v>
      </c>
      <c r="O11" s="242"/>
      <c r="P11" s="255"/>
      <c r="Q11" s="256" t="s">
        <v>340</v>
      </c>
      <c r="R11" s="242"/>
      <c r="S11" s="257" t="s">
        <v>341</v>
      </c>
    </row>
    <row r="12" spans="1:19" ht="14.25">
      <c r="A12" s="258" t="s">
        <v>342</v>
      </c>
      <c r="B12" s="258" t="s">
        <v>332</v>
      </c>
      <c r="C12" s="258" t="s">
        <v>332</v>
      </c>
      <c r="D12" s="258" t="s">
        <v>332</v>
      </c>
      <c r="E12" s="258" t="s">
        <v>337</v>
      </c>
      <c r="F12" s="258" t="s">
        <v>316</v>
      </c>
      <c r="G12" s="258" t="s">
        <v>332</v>
      </c>
      <c r="H12" s="258" t="s">
        <v>332</v>
      </c>
      <c r="I12" s="258" t="s">
        <v>337</v>
      </c>
      <c r="J12" s="258" t="s">
        <v>317</v>
      </c>
      <c r="K12" s="259" t="s">
        <v>316</v>
      </c>
      <c r="L12" s="260" t="s">
        <v>317</v>
      </c>
      <c r="M12" s="261"/>
      <c r="N12" s="259" t="s">
        <v>317</v>
      </c>
      <c r="O12" s="261"/>
      <c r="P12" s="259" t="s">
        <v>316</v>
      </c>
      <c r="Q12" s="260" t="s">
        <v>317</v>
      </c>
      <c r="R12" s="261"/>
      <c r="S12" s="257"/>
    </row>
    <row r="13" spans="1:19" ht="15" thickBot="1">
      <c r="A13" s="241"/>
      <c r="B13" s="258" t="s">
        <v>343</v>
      </c>
      <c r="C13" s="258" t="s">
        <v>344</v>
      </c>
      <c r="D13" s="258" t="s">
        <v>345</v>
      </c>
      <c r="E13" s="258" t="s">
        <v>316</v>
      </c>
      <c r="F13" s="258" t="s">
        <v>345</v>
      </c>
      <c r="G13" s="258" t="s">
        <v>339</v>
      </c>
      <c r="H13" s="258" t="s">
        <v>346</v>
      </c>
      <c r="I13" s="258" t="s">
        <v>317</v>
      </c>
      <c r="J13" s="258" t="s">
        <v>339</v>
      </c>
      <c r="K13" s="262" t="s">
        <v>323</v>
      </c>
      <c r="L13" s="258" t="s">
        <v>323</v>
      </c>
      <c r="M13" s="258" t="s">
        <v>347</v>
      </c>
      <c r="N13" s="262" t="s">
        <v>323</v>
      </c>
      <c r="O13" s="258" t="s">
        <v>347</v>
      </c>
      <c r="P13" s="262" t="s">
        <v>323</v>
      </c>
      <c r="Q13" s="258" t="s">
        <v>323</v>
      </c>
      <c r="R13" s="258" t="s">
        <v>347</v>
      </c>
      <c r="S13" s="263"/>
    </row>
    <row r="14" spans="1:19" ht="15" thickBot="1">
      <c r="A14" s="248"/>
      <c r="B14" s="264"/>
      <c r="C14" s="264"/>
      <c r="D14" s="264"/>
      <c r="E14" s="264"/>
      <c r="F14" s="264"/>
      <c r="G14" s="264"/>
      <c r="H14" s="264"/>
      <c r="I14" s="264"/>
      <c r="J14" s="264"/>
      <c r="K14" s="265"/>
      <c r="L14" s="266"/>
      <c r="M14" s="267"/>
      <c r="N14" s="268"/>
      <c r="O14" s="269"/>
      <c r="P14" s="265"/>
      <c r="Q14" s="266"/>
      <c r="R14" s="266"/>
      <c r="S14" s="270"/>
    </row>
    <row r="15" spans="1:19" ht="15" thickTop="1">
      <c r="A15" s="271" t="s">
        <v>348</v>
      </c>
      <c r="B15" s="272">
        <v>5203</v>
      </c>
      <c r="C15" s="272">
        <v>4271</v>
      </c>
      <c r="D15" s="272">
        <v>0</v>
      </c>
      <c r="E15" s="272">
        <v>4271</v>
      </c>
      <c r="F15" s="272">
        <v>932</v>
      </c>
      <c r="G15" s="272">
        <v>0</v>
      </c>
      <c r="H15" s="272">
        <v>3355</v>
      </c>
      <c r="I15" s="272">
        <v>3355</v>
      </c>
      <c r="J15" s="272">
        <v>916</v>
      </c>
      <c r="K15" s="273">
        <v>0</v>
      </c>
      <c r="L15" s="272">
        <v>0</v>
      </c>
      <c r="M15" s="274">
        <v>932</v>
      </c>
      <c r="N15" s="275">
        <v>0</v>
      </c>
      <c r="O15" s="274">
        <v>916</v>
      </c>
      <c r="P15" s="273">
        <v>0</v>
      </c>
      <c r="Q15" s="272">
        <v>0</v>
      </c>
      <c r="R15" s="272">
        <v>5203</v>
      </c>
      <c r="S15" s="273">
        <v>5203</v>
      </c>
    </row>
    <row r="16" spans="1:19" ht="14.25">
      <c r="A16" s="276" t="s">
        <v>349</v>
      </c>
      <c r="B16" s="277">
        <v>2548</v>
      </c>
      <c r="C16" s="277">
        <v>2163</v>
      </c>
      <c r="D16" s="277">
        <v>0</v>
      </c>
      <c r="E16" s="277">
        <v>2163</v>
      </c>
      <c r="F16" s="277">
        <v>385</v>
      </c>
      <c r="G16" s="277">
        <v>0</v>
      </c>
      <c r="H16" s="277">
        <v>1740</v>
      </c>
      <c r="I16" s="277">
        <v>1740</v>
      </c>
      <c r="J16" s="277">
        <v>423</v>
      </c>
      <c r="K16" s="278">
        <v>0</v>
      </c>
      <c r="L16" s="277">
        <v>0</v>
      </c>
      <c r="M16" s="277">
        <v>385</v>
      </c>
      <c r="N16" s="278">
        <v>0</v>
      </c>
      <c r="O16" s="277">
        <v>423</v>
      </c>
      <c r="P16" s="278">
        <v>0</v>
      </c>
      <c r="Q16" s="277">
        <v>0</v>
      </c>
      <c r="R16" s="277">
        <v>2548</v>
      </c>
      <c r="S16" s="278">
        <v>2548</v>
      </c>
    </row>
    <row r="17" spans="1:19" ht="14.25">
      <c r="A17" s="276" t="s">
        <v>350</v>
      </c>
      <c r="B17" s="277">
        <v>0</v>
      </c>
      <c r="C17" s="277">
        <v>0</v>
      </c>
      <c r="D17" s="277">
        <v>0</v>
      </c>
      <c r="E17" s="277">
        <v>0</v>
      </c>
      <c r="F17" s="277">
        <v>0</v>
      </c>
      <c r="G17" s="277">
        <v>0</v>
      </c>
      <c r="H17" s="277">
        <v>0</v>
      </c>
      <c r="I17" s="277">
        <v>0</v>
      </c>
      <c r="J17" s="277">
        <v>0</v>
      </c>
      <c r="K17" s="278">
        <v>0</v>
      </c>
      <c r="L17" s="277">
        <v>0</v>
      </c>
      <c r="M17" s="277">
        <v>0</v>
      </c>
      <c r="N17" s="278">
        <v>0</v>
      </c>
      <c r="O17" s="277">
        <v>0</v>
      </c>
      <c r="P17" s="278">
        <v>0</v>
      </c>
      <c r="Q17" s="277">
        <v>0</v>
      </c>
      <c r="R17" s="277">
        <v>0</v>
      </c>
      <c r="S17" s="278">
        <v>0</v>
      </c>
    </row>
    <row r="18" spans="1:19" ht="14.25">
      <c r="A18" s="276" t="s">
        <v>351</v>
      </c>
      <c r="B18" s="277">
        <v>5313</v>
      </c>
      <c r="C18" s="277">
        <v>4144</v>
      </c>
      <c r="D18" s="277">
        <v>0</v>
      </c>
      <c r="E18" s="277">
        <v>4144</v>
      </c>
      <c r="F18" s="277">
        <v>1169</v>
      </c>
      <c r="G18" s="277">
        <v>0</v>
      </c>
      <c r="H18" s="277">
        <v>3167</v>
      </c>
      <c r="I18" s="277">
        <v>3167</v>
      </c>
      <c r="J18" s="277">
        <v>977</v>
      </c>
      <c r="K18" s="278">
        <v>0</v>
      </c>
      <c r="L18" s="277">
        <v>0</v>
      </c>
      <c r="M18" s="277">
        <v>1169</v>
      </c>
      <c r="N18" s="278">
        <v>0</v>
      </c>
      <c r="O18" s="277">
        <v>977</v>
      </c>
      <c r="P18" s="278">
        <v>0</v>
      </c>
      <c r="Q18" s="277">
        <v>0</v>
      </c>
      <c r="R18" s="277">
        <v>5313</v>
      </c>
      <c r="S18" s="278">
        <v>5313</v>
      </c>
    </row>
    <row r="19" spans="1:19" ht="14.25">
      <c r="A19" s="276" t="s">
        <v>352</v>
      </c>
      <c r="B19" s="277">
        <v>7233</v>
      </c>
      <c r="C19" s="277">
        <v>5699</v>
      </c>
      <c r="D19" s="277">
        <v>0</v>
      </c>
      <c r="E19" s="277">
        <v>5699</v>
      </c>
      <c r="F19" s="277">
        <v>1534</v>
      </c>
      <c r="G19" s="277">
        <v>0</v>
      </c>
      <c r="H19" s="277">
        <v>4231</v>
      </c>
      <c r="I19" s="277">
        <v>4231</v>
      </c>
      <c r="J19" s="277">
        <v>1468</v>
      </c>
      <c r="K19" s="278">
        <v>0</v>
      </c>
      <c r="L19" s="277">
        <v>0</v>
      </c>
      <c r="M19" s="277">
        <v>1534</v>
      </c>
      <c r="N19" s="278">
        <v>0</v>
      </c>
      <c r="O19" s="277">
        <v>1468</v>
      </c>
      <c r="P19" s="278">
        <v>0</v>
      </c>
      <c r="Q19" s="277">
        <v>0</v>
      </c>
      <c r="R19" s="277">
        <v>7233</v>
      </c>
      <c r="S19" s="278">
        <v>7233</v>
      </c>
    </row>
    <row r="20" spans="1:19" ht="14.25">
      <c r="A20" s="276" t="s">
        <v>353</v>
      </c>
      <c r="B20" s="277">
        <v>5453</v>
      </c>
      <c r="C20" s="277">
        <v>4169</v>
      </c>
      <c r="D20" s="277">
        <v>0</v>
      </c>
      <c r="E20" s="277">
        <v>4169</v>
      </c>
      <c r="F20" s="277">
        <v>1284</v>
      </c>
      <c r="G20" s="277">
        <v>0</v>
      </c>
      <c r="H20" s="277">
        <v>1426</v>
      </c>
      <c r="I20" s="277">
        <v>1426</v>
      </c>
      <c r="J20" s="277">
        <v>2743</v>
      </c>
      <c r="K20" s="278">
        <v>0</v>
      </c>
      <c r="L20" s="277">
        <v>0</v>
      </c>
      <c r="M20" s="277">
        <v>1284</v>
      </c>
      <c r="N20" s="278">
        <v>0</v>
      </c>
      <c r="O20" s="277">
        <v>2743</v>
      </c>
      <c r="P20" s="278">
        <v>0</v>
      </c>
      <c r="Q20" s="277">
        <v>0</v>
      </c>
      <c r="R20" s="277">
        <v>5453</v>
      </c>
      <c r="S20" s="278">
        <v>5453</v>
      </c>
    </row>
    <row r="21" spans="1:19" ht="14.25">
      <c r="A21" s="276" t="s">
        <v>354</v>
      </c>
      <c r="B21" s="277">
        <v>15543</v>
      </c>
      <c r="C21" s="277">
        <v>12073</v>
      </c>
      <c r="D21" s="277">
        <v>940</v>
      </c>
      <c r="E21" s="277">
        <v>13013</v>
      </c>
      <c r="F21" s="277">
        <v>2530</v>
      </c>
      <c r="G21" s="277">
        <v>8704</v>
      </c>
      <c r="H21" s="277">
        <v>2061</v>
      </c>
      <c r="I21" s="277">
        <v>10765</v>
      </c>
      <c r="J21" s="277">
        <v>1308</v>
      </c>
      <c r="K21" s="278">
        <v>182</v>
      </c>
      <c r="L21" s="277">
        <v>1898</v>
      </c>
      <c r="M21" s="277">
        <v>450</v>
      </c>
      <c r="N21" s="278">
        <v>1058</v>
      </c>
      <c r="O21" s="277">
        <v>250</v>
      </c>
      <c r="P21" s="278">
        <v>1122</v>
      </c>
      <c r="Q21" s="277">
        <v>11660</v>
      </c>
      <c r="R21" s="277">
        <v>2761</v>
      </c>
      <c r="S21" s="278">
        <v>15543</v>
      </c>
    </row>
    <row r="22" spans="1:19" ht="14.25">
      <c r="A22" s="276" t="s">
        <v>355</v>
      </c>
      <c r="B22" s="277">
        <v>10511</v>
      </c>
      <c r="C22" s="277">
        <v>8423</v>
      </c>
      <c r="D22" s="277">
        <v>394</v>
      </c>
      <c r="E22" s="277">
        <v>8817</v>
      </c>
      <c r="F22" s="277">
        <v>1694</v>
      </c>
      <c r="G22" s="277">
        <v>4590</v>
      </c>
      <c r="H22" s="277">
        <v>3288</v>
      </c>
      <c r="I22" s="277">
        <v>7878</v>
      </c>
      <c r="J22" s="277">
        <v>545</v>
      </c>
      <c r="K22" s="278">
        <v>75</v>
      </c>
      <c r="L22" s="277">
        <v>943</v>
      </c>
      <c r="M22" s="277">
        <v>676</v>
      </c>
      <c r="N22" s="278">
        <v>318</v>
      </c>
      <c r="O22" s="277">
        <v>227</v>
      </c>
      <c r="P22" s="278">
        <v>469</v>
      </c>
      <c r="Q22" s="277">
        <v>5851</v>
      </c>
      <c r="R22" s="277">
        <v>4191</v>
      </c>
      <c r="S22" s="278">
        <v>10511</v>
      </c>
    </row>
    <row r="23" spans="1:19" ht="14.25">
      <c r="A23" s="276" t="s">
        <v>356</v>
      </c>
      <c r="B23" s="277">
        <v>3365</v>
      </c>
      <c r="C23" s="277">
        <v>2472</v>
      </c>
      <c r="D23" s="277">
        <v>0</v>
      </c>
      <c r="E23" s="277">
        <v>2472</v>
      </c>
      <c r="F23" s="277">
        <v>893</v>
      </c>
      <c r="G23" s="277">
        <v>0</v>
      </c>
      <c r="H23" s="277">
        <v>1582</v>
      </c>
      <c r="I23" s="277">
        <v>1582</v>
      </c>
      <c r="J23" s="277">
        <v>890</v>
      </c>
      <c r="K23" s="278">
        <v>0</v>
      </c>
      <c r="L23" s="277">
        <v>0</v>
      </c>
      <c r="M23" s="277">
        <v>893</v>
      </c>
      <c r="N23" s="278">
        <v>0</v>
      </c>
      <c r="O23" s="277">
        <v>890</v>
      </c>
      <c r="P23" s="278">
        <v>0</v>
      </c>
      <c r="Q23" s="277">
        <v>0</v>
      </c>
      <c r="R23" s="277">
        <v>3365</v>
      </c>
      <c r="S23" s="278">
        <v>3365</v>
      </c>
    </row>
    <row r="24" spans="1:19" ht="14.25">
      <c r="A24" s="276" t="s">
        <v>357</v>
      </c>
      <c r="B24" s="277">
        <v>3064</v>
      </c>
      <c r="C24" s="277">
        <v>2129</v>
      </c>
      <c r="D24" s="277">
        <v>0</v>
      </c>
      <c r="E24" s="277">
        <v>2129</v>
      </c>
      <c r="F24" s="277">
        <v>935</v>
      </c>
      <c r="G24" s="277">
        <v>0</v>
      </c>
      <c r="H24" s="277">
        <v>1189</v>
      </c>
      <c r="I24" s="277">
        <v>1189</v>
      </c>
      <c r="J24" s="277">
        <v>940</v>
      </c>
      <c r="K24" s="278">
        <v>0</v>
      </c>
      <c r="L24" s="277">
        <v>0</v>
      </c>
      <c r="M24" s="277">
        <v>935</v>
      </c>
      <c r="N24" s="278">
        <v>0</v>
      </c>
      <c r="O24" s="277">
        <v>940</v>
      </c>
      <c r="P24" s="278">
        <v>0</v>
      </c>
      <c r="Q24" s="277">
        <v>0</v>
      </c>
      <c r="R24" s="277">
        <v>3064</v>
      </c>
      <c r="S24" s="278">
        <v>3064</v>
      </c>
    </row>
    <row r="25" spans="1:19" ht="14.25">
      <c r="A25" s="276" t="s">
        <v>358</v>
      </c>
      <c r="B25" s="277">
        <v>3880</v>
      </c>
      <c r="C25" s="277">
        <v>2950</v>
      </c>
      <c r="D25" s="277">
        <v>0</v>
      </c>
      <c r="E25" s="277">
        <v>2950</v>
      </c>
      <c r="F25" s="277">
        <v>930</v>
      </c>
      <c r="G25" s="277">
        <v>0</v>
      </c>
      <c r="H25" s="277">
        <v>2006</v>
      </c>
      <c r="I25" s="277">
        <v>2006</v>
      </c>
      <c r="J25" s="277">
        <v>944</v>
      </c>
      <c r="K25" s="278">
        <v>0</v>
      </c>
      <c r="L25" s="277">
        <v>0</v>
      </c>
      <c r="M25" s="277">
        <v>930</v>
      </c>
      <c r="N25" s="278">
        <v>0</v>
      </c>
      <c r="O25" s="277">
        <v>944</v>
      </c>
      <c r="P25" s="278">
        <v>0</v>
      </c>
      <c r="Q25" s="277">
        <v>0</v>
      </c>
      <c r="R25" s="277">
        <v>3880</v>
      </c>
      <c r="S25" s="278">
        <v>3880</v>
      </c>
    </row>
    <row r="26" spans="1:19" ht="14.25">
      <c r="A26" s="276" t="s">
        <v>359</v>
      </c>
      <c r="B26" s="277">
        <v>4387</v>
      </c>
      <c r="C26" s="277">
        <v>3459</v>
      </c>
      <c r="D26" s="277">
        <v>0</v>
      </c>
      <c r="E26" s="277">
        <v>3459</v>
      </c>
      <c r="F26" s="277">
        <v>928</v>
      </c>
      <c r="G26" s="277">
        <v>0</v>
      </c>
      <c r="H26" s="277">
        <v>2550</v>
      </c>
      <c r="I26" s="277">
        <v>2550</v>
      </c>
      <c r="J26" s="277">
        <v>909</v>
      </c>
      <c r="K26" s="278">
        <v>0</v>
      </c>
      <c r="L26" s="277">
        <v>0</v>
      </c>
      <c r="M26" s="277">
        <v>928</v>
      </c>
      <c r="N26" s="278">
        <v>0</v>
      </c>
      <c r="O26" s="277">
        <v>909</v>
      </c>
      <c r="P26" s="278">
        <v>0</v>
      </c>
      <c r="Q26" s="277">
        <v>0</v>
      </c>
      <c r="R26" s="277">
        <v>4387</v>
      </c>
      <c r="S26" s="278">
        <v>4387</v>
      </c>
    </row>
    <row r="27" spans="1:19" ht="15" thickBot="1">
      <c r="A27" s="276"/>
      <c r="B27" s="277"/>
      <c r="C27" s="277"/>
      <c r="D27" s="277"/>
      <c r="E27" s="277"/>
      <c r="F27" s="277"/>
      <c r="G27" s="277"/>
      <c r="H27" s="277"/>
      <c r="I27" s="277"/>
      <c r="J27" s="277"/>
      <c r="K27" s="278"/>
      <c r="L27" s="277"/>
      <c r="M27" s="277"/>
      <c r="N27" s="278"/>
      <c r="O27" s="277"/>
      <c r="P27" s="278"/>
      <c r="Q27" s="277"/>
      <c r="R27" s="277"/>
      <c r="S27" s="278"/>
    </row>
    <row r="28" spans="1:19" ht="15" thickTop="1">
      <c r="A28" s="271" t="s">
        <v>4</v>
      </c>
      <c r="B28" s="272">
        <v>66500</v>
      </c>
      <c r="C28" s="272">
        <v>51952</v>
      </c>
      <c r="D28" s="272">
        <v>1334</v>
      </c>
      <c r="E28" s="272">
        <v>53286</v>
      </c>
      <c r="F28" s="272">
        <v>13214</v>
      </c>
      <c r="G28" s="272">
        <v>13294</v>
      </c>
      <c r="H28" s="272">
        <v>26595</v>
      </c>
      <c r="I28" s="272">
        <v>39889</v>
      </c>
      <c r="J28" s="272">
        <v>12063</v>
      </c>
      <c r="K28" s="273">
        <v>257</v>
      </c>
      <c r="L28" s="272">
        <v>2841</v>
      </c>
      <c r="M28" s="272">
        <v>10116</v>
      </c>
      <c r="N28" s="273">
        <v>1376</v>
      </c>
      <c r="O28" s="272">
        <v>10687</v>
      </c>
      <c r="P28" s="273">
        <v>1591</v>
      </c>
      <c r="Q28" s="272">
        <v>17511</v>
      </c>
      <c r="R28" s="272">
        <v>47398</v>
      </c>
      <c r="S28" s="273">
        <v>66500</v>
      </c>
    </row>
  </sheetData>
  <sheetProtection/>
  <printOptions/>
  <pageMargins left="0.75" right="0.75" top="1" bottom="1" header="0.5" footer="0.5"/>
  <pageSetup fitToHeight="1" fitToWidth="1" horizontalDpi="600" verticalDpi="600" orientation="landscape" scale="58" r:id="rId1"/>
  <headerFooter alignWithMargins="0">
    <oddHeader>&amp;LRRCA
Compact Accounting&amp;RPage &amp;P of &amp;N</oddHeader>
  </headerFooter>
</worksheet>
</file>

<file path=xl/worksheets/sheet27.xml><?xml version="1.0" encoding="utf-8"?>
<worksheet xmlns="http://schemas.openxmlformats.org/spreadsheetml/2006/main" xmlns:r="http://schemas.openxmlformats.org/officeDocument/2006/relationships">
  <sheetPr>
    <pageSetUpPr fitToPage="1"/>
  </sheetPr>
  <dimension ref="A1:L67"/>
  <sheetViews>
    <sheetView zoomScalePageLayoutView="0" workbookViewId="0" topLeftCell="A1">
      <selection activeCell="A1" sqref="A1:K1"/>
    </sheetView>
  </sheetViews>
  <sheetFormatPr defaultColWidth="9.140625" defaultRowHeight="12.75"/>
  <cols>
    <col min="4" max="4" width="11.421875" style="0" customWidth="1"/>
    <col min="7" max="7" width="11.8515625" style="0" customWidth="1"/>
    <col min="8" max="8" width="10.28125" style="0" customWidth="1"/>
  </cols>
  <sheetData>
    <row r="1" spans="1:12" ht="12.75">
      <c r="A1" s="308" t="s">
        <v>360</v>
      </c>
      <c r="B1" s="308"/>
      <c r="C1" s="308"/>
      <c r="D1" s="308"/>
      <c r="E1" s="308"/>
      <c r="F1" s="308"/>
      <c r="G1" s="308"/>
      <c r="H1" s="308"/>
      <c r="I1" s="308"/>
      <c r="J1" s="308"/>
      <c r="K1" s="308"/>
      <c r="L1" s="99"/>
    </row>
    <row r="2" spans="1:12" ht="12.75">
      <c r="A2" s="309" t="s">
        <v>361</v>
      </c>
      <c r="B2" s="309"/>
      <c r="C2" s="309"/>
      <c r="D2" s="309"/>
      <c r="E2" s="309"/>
      <c r="F2" s="309"/>
      <c r="G2" s="309"/>
      <c r="H2" s="309"/>
      <c r="I2" s="309"/>
      <c r="J2" s="309"/>
      <c r="K2" s="309"/>
      <c r="L2" s="99"/>
    </row>
    <row r="3" spans="1:12" ht="12.75">
      <c r="A3" s="100"/>
      <c r="B3" s="310" t="s">
        <v>362</v>
      </c>
      <c r="C3" s="310"/>
      <c r="D3" s="310"/>
      <c r="E3" s="310"/>
      <c r="F3" s="310"/>
      <c r="G3" s="99"/>
      <c r="H3" s="99"/>
      <c r="I3" s="99"/>
      <c r="J3" s="99"/>
      <c r="K3" s="99"/>
      <c r="L3" s="99"/>
    </row>
    <row r="4" spans="1:12" ht="12.75">
      <c r="A4" s="100"/>
      <c r="B4" s="101"/>
      <c r="C4" s="102" t="s">
        <v>363</v>
      </c>
      <c r="D4" s="101"/>
      <c r="E4" s="101"/>
      <c r="F4" s="101"/>
      <c r="G4" s="103"/>
      <c r="H4" s="310" t="s">
        <v>365</v>
      </c>
      <c r="I4" s="310"/>
      <c r="J4" s="99"/>
      <c r="K4" s="310" t="s">
        <v>366</v>
      </c>
      <c r="L4" s="310"/>
    </row>
    <row r="5" spans="1:12" ht="12.75">
      <c r="A5" s="100"/>
      <c r="B5" s="98" t="s">
        <v>367</v>
      </c>
      <c r="C5" s="98" t="s">
        <v>367</v>
      </c>
      <c r="D5" s="98" t="s">
        <v>367</v>
      </c>
      <c r="E5" s="98" t="s">
        <v>368</v>
      </c>
      <c r="F5" s="98" t="s">
        <v>369</v>
      </c>
      <c r="G5" s="98" t="s">
        <v>367</v>
      </c>
      <c r="H5" s="279" t="s">
        <v>370</v>
      </c>
      <c r="I5" s="279" t="s">
        <v>371</v>
      </c>
      <c r="J5" s="99"/>
      <c r="K5" s="279" t="s">
        <v>370</v>
      </c>
      <c r="L5" s="279" t="s">
        <v>371</v>
      </c>
    </row>
    <row r="6" spans="1:12" ht="12.75">
      <c r="A6" s="104"/>
      <c r="B6" s="98"/>
      <c r="C6" s="98"/>
      <c r="D6" s="98"/>
      <c r="E6" s="98"/>
      <c r="F6" s="98"/>
      <c r="G6" s="98"/>
      <c r="H6" s="98" t="s">
        <v>372</v>
      </c>
      <c r="I6" s="98" t="s">
        <v>373</v>
      </c>
      <c r="J6" s="99"/>
      <c r="K6" s="98" t="s">
        <v>372</v>
      </c>
      <c r="L6" s="98" t="s">
        <v>373</v>
      </c>
    </row>
    <row r="7" spans="1:12" ht="12.75">
      <c r="A7" s="100" t="s">
        <v>342</v>
      </c>
      <c r="B7" s="98" t="s">
        <v>374</v>
      </c>
      <c r="C7" s="98" t="s">
        <v>375</v>
      </c>
      <c r="D7" s="98" t="s">
        <v>376</v>
      </c>
      <c r="E7" s="98" t="s">
        <v>377</v>
      </c>
      <c r="F7" s="98" t="s">
        <v>378</v>
      </c>
      <c r="G7" s="98" t="s">
        <v>379</v>
      </c>
      <c r="H7" s="98" t="s">
        <v>367</v>
      </c>
      <c r="I7" s="98" t="s">
        <v>367</v>
      </c>
      <c r="J7" s="99"/>
      <c r="K7" s="98" t="s">
        <v>367</v>
      </c>
      <c r="L7" s="98" t="s">
        <v>367</v>
      </c>
    </row>
    <row r="8" spans="1:12" ht="12.75">
      <c r="A8" s="102" t="s">
        <v>380</v>
      </c>
      <c r="B8" s="105">
        <v>280</v>
      </c>
      <c r="C8" s="105">
        <v>0</v>
      </c>
      <c r="D8" s="105">
        <v>652</v>
      </c>
      <c r="E8" s="106">
        <v>1.22</v>
      </c>
      <c r="F8" s="107">
        <v>0.21</v>
      </c>
      <c r="G8" s="105">
        <v>160085</v>
      </c>
      <c r="H8" s="108">
        <v>0</v>
      </c>
      <c r="I8" s="108">
        <v>0</v>
      </c>
      <c r="J8" s="101"/>
      <c r="K8" s="108">
        <v>0</v>
      </c>
      <c r="L8" s="108">
        <v>0</v>
      </c>
    </row>
    <row r="9" spans="1:12" ht="12.75">
      <c r="A9" s="100" t="s">
        <v>381</v>
      </c>
      <c r="B9" s="109">
        <v>1974</v>
      </c>
      <c r="C9" s="109">
        <v>0</v>
      </c>
      <c r="D9" s="109">
        <v>675</v>
      </c>
      <c r="E9" s="110">
        <v>1.26</v>
      </c>
      <c r="F9" s="111">
        <v>0.39</v>
      </c>
      <c r="G9" s="109">
        <v>161384</v>
      </c>
      <c r="H9" s="112">
        <v>0</v>
      </c>
      <c r="I9" s="112">
        <v>0</v>
      </c>
      <c r="J9" s="99"/>
      <c r="K9" s="112">
        <v>0</v>
      </c>
      <c r="L9" s="112">
        <v>0</v>
      </c>
    </row>
    <row r="10" spans="1:12" ht="12.75">
      <c r="A10" s="100" t="s">
        <v>382</v>
      </c>
      <c r="B10" s="109">
        <v>3729</v>
      </c>
      <c r="C10" s="109">
        <v>0</v>
      </c>
      <c r="D10" s="109">
        <v>944</v>
      </c>
      <c r="E10" s="110">
        <v>1.75</v>
      </c>
      <c r="F10" s="111">
        <v>0.3</v>
      </c>
      <c r="G10" s="109">
        <v>164168</v>
      </c>
      <c r="H10" s="112">
        <v>0</v>
      </c>
      <c r="I10" s="112">
        <v>0</v>
      </c>
      <c r="J10" s="99"/>
      <c r="K10" s="112">
        <v>0</v>
      </c>
      <c r="L10" s="112">
        <v>0</v>
      </c>
    </row>
    <row r="11" spans="1:12" ht="12.75">
      <c r="A11" s="100" t="s">
        <v>383</v>
      </c>
      <c r="B11" s="109">
        <v>8073</v>
      </c>
      <c r="C11" s="109">
        <v>0</v>
      </c>
      <c r="D11" s="109">
        <v>2469</v>
      </c>
      <c r="E11" s="110">
        <v>4.52</v>
      </c>
      <c r="F11" s="111">
        <v>3.44</v>
      </c>
      <c r="G11" s="109">
        <v>169771</v>
      </c>
      <c r="H11" s="112">
        <v>0</v>
      </c>
      <c r="I11" s="112">
        <v>0</v>
      </c>
      <c r="J11" s="99"/>
      <c r="K11" s="112">
        <v>0</v>
      </c>
      <c r="L11" s="112">
        <v>0</v>
      </c>
    </row>
    <row r="12" spans="1:12" ht="12.75">
      <c r="A12" s="100" t="s">
        <v>384</v>
      </c>
      <c r="B12" s="109">
        <v>8499</v>
      </c>
      <c r="C12" s="109">
        <v>0</v>
      </c>
      <c r="D12" s="109">
        <v>2641</v>
      </c>
      <c r="E12" s="110">
        <v>4.73</v>
      </c>
      <c r="F12" s="111">
        <v>2.23</v>
      </c>
      <c r="G12" s="109">
        <v>175629</v>
      </c>
      <c r="H12" s="112">
        <v>0</v>
      </c>
      <c r="I12" s="112">
        <v>0</v>
      </c>
      <c r="J12" s="99"/>
      <c r="K12" s="112">
        <v>0</v>
      </c>
      <c r="L12" s="112">
        <v>0</v>
      </c>
    </row>
    <row r="13" spans="1:12" ht="12.75">
      <c r="A13" s="100" t="s">
        <v>385</v>
      </c>
      <c r="B13" s="109">
        <v>7855</v>
      </c>
      <c r="C13" s="109">
        <v>1490</v>
      </c>
      <c r="D13" s="109">
        <v>3378</v>
      </c>
      <c r="E13" s="110">
        <v>5.87</v>
      </c>
      <c r="F13" s="111">
        <v>4.48</v>
      </c>
      <c r="G13" s="109">
        <v>178616</v>
      </c>
      <c r="H13" s="112">
        <v>0</v>
      </c>
      <c r="I13" s="112">
        <v>0</v>
      </c>
      <c r="J13" s="99"/>
      <c r="K13" s="112">
        <v>0</v>
      </c>
      <c r="L13" s="112">
        <v>0</v>
      </c>
    </row>
    <row r="14" spans="1:12" ht="12.75">
      <c r="A14" s="100" t="s">
        <v>386</v>
      </c>
      <c r="B14" s="109">
        <v>3223</v>
      </c>
      <c r="C14" s="109">
        <f>21609+9707+1444</f>
        <v>32760</v>
      </c>
      <c r="D14" s="109">
        <v>6880</v>
      </c>
      <c r="E14" s="110">
        <v>13.95</v>
      </c>
      <c r="F14" s="111">
        <v>1.09</v>
      </c>
      <c r="G14" s="109">
        <v>142202</v>
      </c>
      <c r="H14" s="112">
        <v>9899</v>
      </c>
      <c r="I14" s="112">
        <v>2759</v>
      </c>
      <c r="J14" s="99"/>
      <c r="K14" s="112">
        <v>1488</v>
      </c>
      <c r="L14" s="112">
        <v>797</v>
      </c>
    </row>
    <row r="15" spans="1:12" ht="12.75">
      <c r="A15" s="100" t="s">
        <v>387</v>
      </c>
      <c r="B15" s="109">
        <v>1184</v>
      </c>
      <c r="C15" s="109">
        <f>10488+5790+709</f>
        <v>16987</v>
      </c>
      <c r="D15" s="109">
        <v>5126</v>
      </c>
      <c r="E15" s="110">
        <v>10.57</v>
      </c>
      <c r="F15" s="111">
        <v>1.83</v>
      </c>
      <c r="G15" s="109">
        <v>121273</v>
      </c>
      <c r="H15" s="112">
        <v>5363</v>
      </c>
      <c r="I15" s="112">
        <v>2385</v>
      </c>
      <c r="J15" s="99"/>
      <c r="K15" s="112">
        <v>674</v>
      </c>
      <c r="L15" s="112">
        <v>376</v>
      </c>
    </row>
    <row r="16" spans="1:12" ht="12.75">
      <c r="A16" s="100" t="s">
        <v>388</v>
      </c>
      <c r="B16" s="109">
        <v>873</v>
      </c>
      <c r="C16" s="109">
        <v>0</v>
      </c>
      <c r="D16" s="109">
        <v>4406</v>
      </c>
      <c r="E16" s="110">
        <v>7.27</v>
      </c>
      <c r="F16" s="111">
        <v>1.39</v>
      </c>
      <c r="G16" s="109">
        <v>117739</v>
      </c>
      <c r="H16" s="112">
        <v>0</v>
      </c>
      <c r="I16" s="112">
        <v>0</v>
      </c>
      <c r="J16" s="99"/>
      <c r="K16" s="112">
        <v>0</v>
      </c>
      <c r="L16" s="112">
        <v>0</v>
      </c>
    </row>
    <row r="17" spans="1:12" ht="12.75">
      <c r="A17" s="100" t="s">
        <v>389</v>
      </c>
      <c r="B17" s="109">
        <v>2221</v>
      </c>
      <c r="C17" s="109">
        <v>0</v>
      </c>
      <c r="D17" s="109">
        <v>4384</v>
      </c>
      <c r="E17" s="110">
        <v>6.8</v>
      </c>
      <c r="F17" s="111">
        <v>0.89</v>
      </c>
      <c r="G17" s="109">
        <v>115579</v>
      </c>
      <c r="H17" s="112">
        <v>0</v>
      </c>
      <c r="I17" s="112">
        <v>0</v>
      </c>
      <c r="J17" s="99"/>
      <c r="K17" s="112">
        <v>0</v>
      </c>
      <c r="L17" s="112">
        <v>0</v>
      </c>
    </row>
    <row r="18" spans="1:12" ht="12.75">
      <c r="A18" s="100" t="s">
        <v>390</v>
      </c>
      <c r="B18" s="109">
        <v>422</v>
      </c>
      <c r="C18" s="109">
        <v>0</v>
      </c>
      <c r="D18" s="109">
        <v>1718</v>
      </c>
      <c r="E18" s="110">
        <v>0</v>
      </c>
      <c r="F18" s="111">
        <v>0.37</v>
      </c>
      <c r="G18" s="109">
        <v>114283</v>
      </c>
      <c r="H18" s="112">
        <v>0</v>
      </c>
      <c r="I18" s="112">
        <v>0</v>
      </c>
      <c r="J18" s="99"/>
      <c r="K18" s="112">
        <v>0</v>
      </c>
      <c r="L18" s="112">
        <v>0</v>
      </c>
    </row>
    <row r="19" spans="1:12" ht="13.5" thickBot="1">
      <c r="A19" s="100" t="s">
        <v>391</v>
      </c>
      <c r="B19" s="109">
        <v>97</v>
      </c>
      <c r="C19" s="109">
        <v>0</v>
      </c>
      <c r="D19" s="109">
        <v>1034</v>
      </c>
      <c r="E19" s="110">
        <v>0</v>
      </c>
      <c r="F19" s="111">
        <v>0.08</v>
      </c>
      <c r="G19" s="109">
        <v>113346</v>
      </c>
      <c r="H19" s="112">
        <v>0</v>
      </c>
      <c r="I19" s="112">
        <v>0</v>
      </c>
      <c r="J19" s="99"/>
      <c r="K19" s="112">
        <v>0</v>
      </c>
      <c r="L19" s="112">
        <v>0</v>
      </c>
    </row>
    <row r="20" spans="1:12" ht="13.5" thickTop="1">
      <c r="A20" s="113" t="s">
        <v>309</v>
      </c>
      <c r="B20" s="113">
        <f>SUM(B8:B19)</f>
        <v>38430</v>
      </c>
      <c r="C20" s="113">
        <f>SUM(C8:C19)</f>
        <v>51237</v>
      </c>
      <c r="D20" s="113">
        <f>SUM(D8:D19)</f>
        <v>34307</v>
      </c>
      <c r="E20" s="113">
        <f>SUM(E8:E19)</f>
        <v>57.94</v>
      </c>
      <c r="F20" s="114">
        <f>SUM(F8:F19)</f>
        <v>16.7</v>
      </c>
      <c r="G20" s="113" t="s">
        <v>392</v>
      </c>
      <c r="H20" s="115">
        <f>SUM(H8:H19)</f>
        <v>15262</v>
      </c>
      <c r="I20" s="115">
        <f>SUM(I8:I19)</f>
        <v>5144</v>
      </c>
      <c r="J20" s="115"/>
      <c r="K20" s="115">
        <f>SUM(K8:K19)</f>
        <v>2162</v>
      </c>
      <c r="L20" s="113">
        <f>SUM(L8:L19)</f>
        <v>1173</v>
      </c>
    </row>
    <row r="21" spans="1:12" ht="12.75">
      <c r="A21" s="116" t="s">
        <v>550</v>
      </c>
      <c r="B21" s="99"/>
      <c r="C21" s="99"/>
      <c r="D21" s="99"/>
      <c r="E21" s="112"/>
      <c r="G21" s="99"/>
      <c r="H21" s="117"/>
      <c r="I21" s="99"/>
      <c r="J21" s="104"/>
      <c r="K21" s="104"/>
      <c r="L21" s="99"/>
    </row>
    <row r="22" spans="1:12" ht="12.75">
      <c r="A22" s="104"/>
      <c r="B22" s="118"/>
      <c r="C22" s="118"/>
      <c r="D22" s="118"/>
      <c r="E22" s="118"/>
      <c r="F22" s="118"/>
      <c r="G22" s="118"/>
      <c r="H22" s="118"/>
      <c r="I22" s="118"/>
      <c r="J22" s="118"/>
      <c r="K22" s="118"/>
      <c r="L22" s="118"/>
    </row>
    <row r="23" spans="1:12" ht="12.75">
      <c r="A23" s="308" t="s">
        <v>393</v>
      </c>
      <c r="B23" s="308"/>
      <c r="C23" s="308"/>
      <c r="D23" s="308"/>
      <c r="E23" s="308"/>
      <c r="F23" s="308"/>
      <c r="G23" s="308"/>
      <c r="H23" s="308"/>
      <c r="I23" s="308"/>
      <c r="J23" s="308"/>
      <c r="K23" s="308"/>
      <c r="L23" s="99"/>
    </row>
    <row r="24" spans="1:12" ht="12.75">
      <c r="A24" s="309" t="s">
        <v>394</v>
      </c>
      <c r="B24" s="309"/>
      <c r="C24" s="309"/>
      <c r="D24" s="309"/>
      <c r="E24" s="309"/>
      <c r="F24" s="309"/>
      <c r="G24" s="309"/>
      <c r="H24" s="309"/>
      <c r="I24" s="309"/>
      <c r="J24" s="309"/>
      <c r="K24" s="309"/>
      <c r="L24" s="99"/>
    </row>
    <row r="25" spans="1:12" ht="12.75">
      <c r="A25" s="100"/>
      <c r="B25" s="99"/>
      <c r="C25" s="99"/>
      <c r="D25" s="99"/>
      <c r="E25" s="99"/>
      <c r="F25" s="99"/>
      <c r="G25" s="310" t="s">
        <v>395</v>
      </c>
      <c r="H25" s="310"/>
      <c r="I25" s="310"/>
      <c r="J25" s="310"/>
      <c r="K25" s="310"/>
      <c r="L25" s="99"/>
    </row>
    <row r="26" spans="1:12" ht="12.75">
      <c r="A26" s="99"/>
      <c r="B26" s="311" t="s">
        <v>396</v>
      </c>
      <c r="C26" s="312"/>
      <c r="D26" s="312"/>
      <c r="E26" s="312"/>
      <c r="F26" s="99"/>
      <c r="G26" s="313" t="s">
        <v>397</v>
      </c>
      <c r="H26" s="313"/>
      <c r="I26" s="101"/>
      <c r="J26" s="313" t="s">
        <v>398</v>
      </c>
      <c r="K26" s="313"/>
      <c r="L26" s="99"/>
    </row>
    <row r="27" spans="1:12" ht="12.75">
      <c r="A27" s="100"/>
      <c r="B27" s="279" t="s">
        <v>399</v>
      </c>
      <c r="C27" s="279" t="s">
        <v>371</v>
      </c>
      <c r="D27" s="279" t="s">
        <v>399</v>
      </c>
      <c r="E27" s="279" t="s">
        <v>371</v>
      </c>
      <c r="F27" s="98" t="s">
        <v>4</v>
      </c>
      <c r="G27" s="279"/>
      <c r="H27" s="279" t="s">
        <v>371</v>
      </c>
      <c r="I27" s="98"/>
      <c r="J27" s="279" t="s">
        <v>400</v>
      </c>
      <c r="K27" s="279" t="s">
        <v>371</v>
      </c>
      <c r="L27" s="109"/>
    </row>
    <row r="28" spans="1:12" ht="12.75">
      <c r="A28" s="117"/>
      <c r="B28" s="280" t="s">
        <v>372</v>
      </c>
      <c r="C28" s="280" t="s">
        <v>373</v>
      </c>
      <c r="D28" s="280" t="s">
        <v>372</v>
      </c>
      <c r="E28" s="98" t="s">
        <v>373</v>
      </c>
      <c r="F28" s="98" t="s">
        <v>400</v>
      </c>
      <c r="G28" s="98" t="s">
        <v>401</v>
      </c>
      <c r="H28" s="98" t="s">
        <v>373</v>
      </c>
      <c r="I28" s="98"/>
      <c r="J28" s="98" t="s">
        <v>372</v>
      </c>
      <c r="K28" s="98" t="s">
        <v>373</v>
      </c>
      <c r="L28" s="109"/>
    </row>
    <row r="29" spans="1:12" ht="12.75">
      <c r="A29" s="100" t="s">
        <v>342</v>
      </c>
      <c r="B29" s="98" t="s">
        <v>367</v>
      </c>
      <c r="C29" s="98" t="s">
        <v>367</v>
      </c>
      <c r="D29" s="98" t="s">
        <v>367</v>
      </c>
      <c r="E29" s="98" t="s">
        <v>367</v>
      </c>
      <c r="F29" s="98" t="s">
        <v>367</v>
      </c>
      <c r="G29" s="98" t="s">
        <v>367</v>
      </c>
      <c r="H29" s="98" t="s">
        <v>367</v>
      </c>
      <c r="I29" s="98"/>
      <c r="J29" s="98" t="s">
        <v>367</v>
      </c>
      <c r="K29" s="98" t="s">
        <v>367</v>
      </c>
      <c r="L29" s="109"/>
    </row>
    <row r="30" spans="1:12" ht="12.75">
      <c r="A30" s="102" t="s">
        <v>380</v>
      </c>
      <c r="B30" s="108">
        <v>0</v>
      </c>
      <c r="C30" s="108">
        <v>0</v>
      </c>
      <c r="D30" s="108">
        <v>0</v>
      </c>
      <c r="E30" s="108">
        <v>0</v>
      </c>
      <c r="F30" s="108">
        <v>5203</v>
      </c>
      <c r="G30" s="108">
        <v>0</v>
      </c>
      <c r="H30" s="108">
        <v>0</v>
      </c>
      <c r="I30" s="108"/>
      <c r="J30" s="108">
        <v>0</v>
      </c>
      <c r="K30" s="108">
        <v>0</v>
      </c>
      <c r="L30" s="109"/>
    </row>
    <row r="31" spans="1:12" ht="12.75">
      <c r="A31" s="100" t="s">
        <v>381</v>
      </c>
      <c r="B31" s="112">
        <v>0</v>
      </c>
      <c r="C31" s="112">
        <v>0</v>
      </c>
      <c r="D31" s="112">
        <v>0</v>
      </c>
      <c r="E31" s="112">
        <v>0</v>
      </c>
      <c r="F31" s="112">
        <v>2548</v>
      </c>
      <c r="G31" s="112">
        <v>0</v>
      </c>
      <c r="H31" s="112">
        <v>0</v>
      </c>
      <c r="I31" s="112"/>
      <c r="J31" s="112">
        <v>0</v>
      </c>
      <c r="K31" s="112">
        <v>0</v>
      </c>
      <c r="L31" s="109"/>
    </row>
    <row r="32" spans="1:12" ht="12.75">
      <c r="A32" s="100" t="s">
        <v>382</v>
      </c>
      <c r="B32" s="112">
        <v>0</v>
      </c>
      <c r="C32" s="112">
        <v>0</v>
      </c>
      <c r="D32" s="112">
        <v>0</v>
      </c>
      <c r="E32" s="112">
        <v>0</v>
      </c>
      <c r="F32" s="112">
        <v>0</v>
      </c>
      <c r="G32" s="112">
        <v>0</v>
      </c>
      <c r="H32" s="112">
        <v>0</v>
      </c>
      <c r="I32" s="112"/>
      <c r="J32" s="112">
        <v>0</v>
      </c>
      <c r="K32" s="112">
        <v>0</v>
      </c>
      <c r="L32" s="109"/>
    </row>
    <row r="33" spans="1:12" ht="12.75">
      <c r="A33" s="100" t="s">
        <v>383</v>
      </c>
      <c r="B33" s="112">
        <v>0</v>
      </c>
      <c r="C33" s="112">
        <v>0</v>
      </c>
      <c r="D33" s="112">
        <v>0</v>
      </c>
      <c r="E33" s="112">
        <v>0</v>
      </c>
      <c r="F33" s="109">
        <v>5313</v>
      </c>
      <c r="G33" s="112">
        <v>0</v>
      </c>
      <c r="H33" s="112">
        <v>0</v>
      </c>
      <c r="I33" s="112"/>
      <c r="J33" s="112">
        <v>0</v>
      </c>
      <c r="K33" s="112">
        <v>0</v>
      </c>
      <c r="L33" s="99"/>
    </row>
    <row r="34" spans="1:12" ht="12.75">
      <c r="A34" s="100" t="s">
        <v>384</v>
      </c>
      <c r="B34" s="112">
        <v>0</v>
      </c>
      <c r="C34" s="112">
        <v>0</v>
      </c>
      <c r="D34" s="112">
        <v>0</v>
      </c>
      <c r="E34" s="112">
        <v>0</v>
      </c>
      <c r="F34" s="109">
        <v>7233</v>
      </c>
      <c r="G34" s="112">
        <v>0</v>
      </c>
      <c r="H34" s="112">
        <v>0</v>
      </c>
      <c r="I34" s="112"/>
      <c r="J34" s="112">
        <v>0</v>
      </c>
      <c r="K34" s="112">
        <v>0</v>
      </c>
      <c r="L34" s="99"/>
    </row>
    <row r="35" spans="1:12" ht="12.75">
      <c r="A35" s="100" t="s">
        <v>385</v>
      </c>
      <c r="B35" s="112">
        <v>0</v>
      </c>
      <c r="C35" s="112">
        <v>0</v>
      </c>
      <c r="D35" s="112">
        <v>501</v>
      </c>
      <c r="E35" s="112">
        <v>0</v>
      </c>
      <c r="F35" s="109">
        <v>5453</v>
      </c>
      <c r="G35" s="112">
        <v>0</v>
      </c>
      <c r="H35" s="112">
        <v>0</v>
      </c>
      <c r="I35" s="112"/>
      <c r="J35" s="112">
        <v>0</v>
      </c>
      <c r="K35" s="112">
        <v>0</v>
      </c>
      <c r="L35" s="99"/>
    </row>
    <row r="36" spans="1:12" ht="12.75">
      <c r="A36" s="100" t="s">
        <v>386</v>
      </c>
      <c r="B36" s="112">
        <v>1184</v>
      </c>
      <c r="C36" s="112">
        <v>544</v>
      </c>
      <c r="D36" s="112">
        <v>5194</v>
      </c>
      <c r="E36" s="112">
        <v>2290</v>
      </c>
      <c r="F36" s="109">
        <v>15543</v>
      </c>
      <c r="G36" s="112">
        <v>1054</v>
      </c>
      <c r="H36" s="112">
        <v>879</v>
      </c>
      <c r="I36" s="112"/>
      <c r="J36" s="112">
        <v>11715</v>
      </c>
      <c r="K36" s="112">
        <v>5363</v>
      </c>
      <c r="L36" s="99"/>
    </row>
    <row r="37" spans="1:12" ht="12.75">
      <c r="A37" s="100" t="s">
        <v>387</v>
      </c>
      <c r="B37" s="112">
        <v>503</v>
      </c>
      <c r="C37" s="112">
        <v>249</v>
      </c>
      <c r="D37" s="112">
        <v>2479</v>
      </c>
      <c r="E37" s="112">
        <v>1332</v>
      </c>
      <c r="F37" s="109">
        <v>10511</v>
      </c>
      <c r="G37" s="112">
        <v>437</v>
      </c>
      <c r="H37" s="112">
        <v>366</v>
      </c>
      <c r="I37" s="112"/>
      <c r="J37" s="112">
        <v>5870</v>
      </c>
      <c r="K37" s="112">
        <v>3012</v>
      </c>
      <c r="L37" s="99"/>
    </row>
    <row r="38" spans="1:12" ht="12.75">
      <c r="A38" s="100" t="s">
        <v>388</v>
      </c>
      <c r="B38" s="112">
        <v>0</v>
      </c>
      <c r="C38" s="112">
        <v>0</v>
      </c>
      <c r="D38" s="112">
        <v>0</v>
      </c>
      <c r="E38" s="112">
        <v>0</v>
      </c>
      <c r="F38" s="109">
        <v>3365</v>
      </c>
      <c r="G38" s="112">
        <v>0</v>
      </c>
      <c r="H38" s="112">
        <v>0</v>
      </c>
      <c r="I38" s="112"/>
      <c r="J38" s="112">
        <v>0</v>
      </c>
      <c r="K38" s="112">
        <v>0</v>
      </c>
      <c r="L38" s="109"/>
    </row>
    <row r="39" spans="1:12" ht="12.75">
      <c r="A39" s="100" t="s">
        <v>389</v>
      </c>
      <c r="B39" s="112">
        <v>0</v>
      </c>
      <c r="C39" s="112">
        <v>0</v>
      </c>
      <c r="D39" s="112">
        <v>0</v>
      </c>
      <c r="E39" s="112">
        <v>0</v>
      </c>
      <c r="F39" s="112">
        <v>3064</v>
      </c>
      <c r="G39" s="112">
        <v>0</v>
      </c>
      <c r="H39" s="112">
        <v>0</v>
      </c>
      <c r="I39" s="112"/>
      <c r="J39" s="112">
        <v>0</v>
      </c>
      <c r="K39" s="112">
        <v>0</v>
      </c>
      <c r="L39" s="99"/>
    </row>
    <row r="40" spans="1:12" ht="12.75">
      <c r="A40" s="100" t="s">
        <v>390</v>
      </c>
      <c r="B40" s="112">
        <v>0</v>
      </c>
      <c r="C40" s="112">
        <v>0</v>
      </c>
      <c r="D40" s="112">
        <v>0</v>
      </c>
      <c r="E40" s="112">
        <v>0</v>
      </c>
      <c r="F40" s="112">
        <v>3880</v>
      </c>
      <c r="G40" s="112">
        <v>0</v>
      </c>
      <c r="H40" s="112">
        <v>0</v>
      </c>
      <c r="I40" s="112"/>
      <c r="J40" s="112">
        <v>0</v>
      </c>
      <c r="K40" s="112">
        <v>0</v>
      </c>
      <c r="L40" s="99"/>
    </row>
    <row r="41" spans="1:12" ht="13.5" thickBot="1">
      <c r="A41" s="100" t="s">
        <v>391</v>
      </c>
      <c r="B41" s="112">
        <v>0</v>
      </c>
      <c r="C41" s="112">
        <v>0</v>
      </c>
      <c r="D41" s="112">
        <v>0</v>
      </c>
      <c r="E41" s="112">
        <v>0</v>
      </c>
      <c r="F41" s="112">
        <v>4387</v>
      </c>
      <c r="G41" s="112">
        <v>0</v>
      </c>
      <c r="H41" s="112">
        <v>0</v>
      </c>
      <c r="I41" s="112"/>
      <c r="J41" s="112">
        <v>0</v>
      </c>
      <c r="K41" s="112">
        <v>0</v>
      </c>
      <c r="L41" s="99"/>
    </row>
    <row r="42" spans="1:12" ht="13.5" thickTop="1">
      <c r="A42" s="119" t="s">
        <v>309</v>
      </c>
      <c r="B42" s="115">
        <f aca="true" t="shared" si="0" ref="B42:H42">SUM(B30:B41)</f>
        <v>1687</v>
      </c>
      <c r="C42" s="115">
        <f t="shared" si="0"/>
        <v>793</v>
      </c>
      <c r="D42" s="115">
        <f t="shared" si="0"/>
        <v>8174</v>
      </c>
      <c r="E42" s="115">
        <f t="shared" si="0"/>
        <v>3622</v>
      </c>
      <c r="F42" s="115">
        <f t="shared" si="0"/>
        <v>66500</v>
      </c>
      <c r="G42" s="115">
        <f t="shared" si="0"/>
        <v>1491</v>
      </c>
      <c r="H42" s="115">
        <f t="shared" si="0"/>
        <v>1245</v>
      </c>
      <c r="I42" s="115"/>
      <c r="J42" s="115">
        <f>SUM(J30:J41)</f>
        <v>17585</v>
      </c>
      <c r="K42" s="113">
        <f>SUM(K30:K41)</f>
        <v>8375</v>
      </c>
      <c r="L42" s="99"/>
    </row>
    <row r="43" spans="1:12" ht="12.75">
      <c r="A43" s="116" t="s">
        <v>402</v>
      </c>
      <c r="B43" s="99"/>
      <c r="C43" s="99"/>
      <c r="D43" s="120" t="s">
        <v>403</v>
      </c>
      <c r="E43" s="99"/>
      <c r="F43" s="117"/>
      <c r="G43" s="104"/>
      <c r="H43" s="104"/>
      <c r="I43" s="99"/>
      <c r="J43" s="112"/>
      <c r="K43" s="99"/>
      <c r="L43" s="99"/>
    </row>
    <row r="44" spans="1:12" ht="12.75">
      <c r="A44" s="100"/>
      <c r="B44" s="99"/>
      <c r="C44" s="99"/>
      <c r="D44" s="120" t="s">
        <v>404</v>
      </c>
      <c r="E44" s="99"/>
      <c r="F44" s="112"/>
      <c r="G44" s="99"/>
      <c r="H44" s="99"/>
      <c r="I44" s="99"/>
      <c r="J44" s="99"/>
      <c r="K44" s="99"/>
      <c r="L44" s="99"/>
    </row>
    <row r="45" spans="1:12" ht="12.75">
      <c r="A45" s="100"/>
      <c r="B45" s="99"/>
      <c r="C45" s="99"/>
      <c r="D45" s="120" t="s">
        <v>405</v>
      </c>
      <c r="E45" s="99"/>
      <c r="F45" s="112"/>
      <c r="G45" s="99"/>
      <c r="H45" s="99"/>
      <c r="I45" s="99"/>
      <c r="J45" s="99"/>
      <c r="K45" s="99"/>
      <c r="L45" s="99"/>
    </row>
    <row r="46" spans="1:12" ht="12.75">
      <c r="A46" s="100"/>
      <c r="B46" s="99"/>
      <c r="C46" s="99"/>
      <c r="D46" s="120"/>
      <c r="E46" s="99"/>
      <c r="F46" s="112"/>
      <c r="G46" s="99"/>
      <c r="H46" s="99"/>
      <c r="I46" s="99"/>
      <c r="J46" s="99"/>
      <c r="K46" s="99"/>
      <c r="L46" s="99"/>
    </row>
    <row r="47" spans="1:12" ht="12.75">
      <c r="A47" s="308" t="s">
        <v>393</v>
      </c>
      <c r="B47" s="308"/>
      <c r="C47" s="308"/>
      <c r="D47" s="308"/>
      <c r="E47" s="308"/>
      <c r="F47" s="308"/>
      <c r="G47" s="308"/>
      <c r="H47" s="308"/>
      <c r="I47" s="308"/>
      <c r="J47" s="308"/>
      <c r="K47" s="308"/>
      <c r="L47" s="99"/>
    </row>
    <row r="48" spans="1:12" ht="12.75">
      <c r="A48" s="309" t="s">
        <v>406</v>
      </c>
      <c r="B48" s="309"/>
      <c r="C48" s="309"/>
      <c r="D48" s="309"/>
      <c r="E48" s="309"/>
      <c r="F48" s="309"/>
      <c r="G48" s="309"/>
      <c r="H48" s="309"/>
      <c r="I48" s="309"/>
      <c r="J48" s="309"/>
      <c r="K48" s="309"/>
      <c r="L48" s="99"/>
    </row>
    <row r="49" spans="1:12" ht="12.75">
      <c r="A49" s="99"/>
      <c r="B49" s="310" t="s">
        <v>407</v>
      </c>
      <c r="C49" s="310"/>
      <c r="D49" s="310"/>
      <c r="E49" s="310"/>
      <c r="F49" s="310"/>
      <c r="G49" s="99"/>
      <c r="H49" s="99"/>
      <c r="I49" s="99"/>
      <c r="J49" s="99"/>
      <c r="K49" s="99"/>
      <c r="L49" s="99"/>
    </row>
    <row r="50" spans="1:12" ht="12.75">
      <c r="A50" s="99"/>
      <c r="B50" s="279"/>
      <c r="C50" s="279"/>
      <c r="D50" s="279"/>
      <c r="E50" s="279"/>
      <c r="F50" s="279"/>
      <c r="G50" s="279" t="s">
        <v>364</v>
      </c>
      <c r="H50" s="98" t="s">
        <v>408</v>
      </c>
      <c r="I50" s="98" t="s">
        <v>374</v>
      </c>
      <c r="J50" s="98"/>
      <c r="K50" s="310" t="s">
        <v>409</v>
      </c>
      <c r="L50" s="310"/>
    </row>
    <row r="51" spans="1:12" ht="12.75">
      <c r="A51" s="99"/>
      <c r="B51" s="98" t="s">
        <v>4</v>
      </c>
      <c r="C51" s="98"/>
      <c r="D51" s="98" t="s">
        <v>410</v>
      </c>
      <c r="E51" s="98" t="s">
        <v>368</v>
      </c>
      <c r="F51" s="98"/>
      <c r="G51" s="98" t="s">
        <v>342</v>
      </c>
      <c r="H51" s="98" t="s">
        <v>411</v>
      </c>
      <c r="I51" s="98" t="s">
        <v>411</v>
      </c>
      <c r="J51" s="98"/>
      <c r="K51" s="279" t="s">
        <v>370</v>
      </c>
      <c r="L51" s="279" t="s">
        <v>371</v>
      </c>
    </row>
    <row r="52" spans="1:12" ht="12.75">
      <c r="A52" s="104"/>
      <c r="B52" s="98" t="s">
        <v>374</v>
      </c>
      <c r="C52" s="98" t="s">
        <v>375</v>
      </c>
      <c r="D52" s="98" t="s">
        <v>412</v>
      </c>
      <c r="E52" s="98"/>
      <c r="F52" s="98" t="s">
        <v>378</v>
      </c>
      <c r="G52" s="98" t="s">
        <v>413</v>
      </c>
      <c r="H52" s="98" t="s">
        <v>414</v>
      </c>
      <c r="I52" s="98" t="s">
        <v>325</v>
      </c>
      <c r="J52" s="98"/>
      <c r="K52" s="98" t="s">
        <v>372</v>
      </c>
      <c r="L52" s="98" t="s">
        <v>373</v>
      </c>
    </row>
    <row r="53" spans="1:12" ht="12.75">
      <c r="A53" s="100" t="s">
        <v>342</v>
      </c>
      <c r="B53" s="98" t="s">
        <v>367</v>
      </c>
      <c r="C53" s="98" t="s">
        <v>367</v>
      </c>
      <c r="D53" s="98" t="s">
        <v>367</v>
      </c>
      <c r="E53" s="98" t="s">
        <v>377</v>
      </c>
      <c r="F53" s="98" t="s">
        <v>369</v>
      </c>
      <c r="G53" s="98" t="s">
        <v>367</v>
      </c>
      <c r="H53" s="98" t="s">
        <v>415</v>
      </c>
      <c r="I53" s="98" t="s">
        <v>416</v>
      </c>
      <c r="J53" s="98"/>
      <c r="K53" s="98" t="s">
        <v>367</v>
      </c>
      <c r="L53" s="98" t="s">
        <v>367</v>
      </c>
    </row>
    <row r="54" spans="1:12" ht="12.75">
      <c r="A54" s="102" t="s">
        <v>380</v>
      </c>
      <c r="B54" s="105">
        <v>3653</v>
      </c>
      <c r="C54" s="105">
        <v>12</v>
      </c>
      <c r="D54" s="105">
        <v>161</v>
      </c>
      <c r="E54" s="106">
        <v>1.02</v>
      </c>
      <c r="F54" s="107">
        <v>0.26</v>
      </c>
      <c r="G54" s="105">
        <f>O57+B54-C54-D54</f>
        <v>3480</v>
      </c>
      <c r="H54" s="105">
        <f aca="true" t="shared" si="1" ref="H54:H65">B54-I54</f>
        <v>298</v>
      </c>
      <c r="I54" s="105">
        <v>3355</v>
      </c>
      <c r="J54" s="105"/>
      <c r="K54" s="108">
        <v>0</v>
      </c>
      <c r="L54" s="108">
        <v>0</v>
      </c>
    </row>
    <row r="55" spans="1:12" ht="12.75">
      <c r="A55" s="100" t="s">
        <v>381</v>
      </c>
      <c r="B55" s="109">
        <v>2965</v>
      </c>
      <c r="C55" s="109">
        <v>11</v>
      </c>
      <c r="D55" s="109">
        <v>201</v>
      </c>
      <c r="E55" s="110">
        <v>1.2</v>
      </c>
      <c r="F55" s="111">
        <v>0.77</v>
      </c>
      <c r="G55" s="109">
        <f aca="true" t="shared" si="2" ref="G55:G65">G54+B55-C55-D55</f>
        <v>6233</v>
      </c>
      <c r="H55" s="109">
        <f t="shared" si="1"/>
        <v>1225</v>
      </c>
      <c r="I55" s="121">
        <v>1740</v>
      </c>
      <c r="J55" s="109"/>
      <c r="K55" s="112">
        <v>0</v>
      </c>
      <c r="L55" s="112">
        <v>0</v>
      </c>
    </row>
    <row r="56" spans="1:12" ht="12.75">
      <c r="A56" s="100" t="s">
        <v>382</v>
      </c>
      <c r="B56" s="109">
        <v>587</v>
      </c>
      <c r="C56" s="109">
        <v>12</v>
      </c>
      <c r="D56" s="109">
        <v>369</v>
      </c>
      <c r="E56" s="110">
        <v>2.15</v>
      </c>
      <c r="F56" s="111">
        <v>1.51</v>
      </c>
      <c r="G56" s="109">
        <f t="shared" si="2"/>
        <v>6439</v>
      </c>
      <c r="H56" s="109">
        <f t="shared" si="1"/>
        <v>587</v>
      </c>
      <c r="I56" s="121">
        <v>0</v>
      </c>
      <c r="J56" s="109"/>
      <c r="K56" s="112">
        <v>0</v>
      </c>
      <c r="L56" s="112">
        <v>0</v>
      </c>
    </row>
    <row r="57" spans="1:12" ht="12.75">
      <c r="A57" s="100" t="s">
        <v>383</v>
      </c>
      <c r="B57" s="109">
        <v>4297</v>
      </c>
      <c r="C57" s="109">
        <v>17</v>
      </c>
      <c r="D57" s="109">
        <v>660</v>
      </c>
      <c r="E57" s="110">
        <v>3.72</v>
      </c>
      <c r="F57" s="111">
        <v>2.52</v>
      </c>
      <c r="G57" s="109">
        <f t="shared" si="2"/>
        <v>10059</v>
      </c>
      <c r="H57" s="109">
        <f t="shared" si="1"/>
        <v>1130</v>
      </c>
      <c r="I57" s="121">
        <v>3167</v>
      </c>
      <c r="J57" s="109"/>
      <c r="K57" s="112">
        <v>0</v>
      </c>
      <c r="L57" s="112">
        <v>0</v>
      </c>
    </row>
    <row r="58" spans="1:12" ht="12.75">
      <c r="A58" s="100" t="s">
        <v>384</v>
      </c>
      <c r="B58" s="109">
        <v>5778</v>
      </c>
      <c r="C58" s="109">
        <f>19+569</f>
        <v>588</v>
      </c>
      <c r="D58" s="109">
        <v>927</v>
      </c>
      <c r="E58" s="110">
        <v>4.92</v>
      </c>
      <c r="F58" s="111">
        <v>3.7</v>
      </c>
      <c r="G58" s="109">
        <f t="shared" si="2"/>
        <v>14322</v>
      </c>
      <c r="H58" s="109">
        <f t="shared" si="1"/>
        <v>1546</v>
      </c>
      <c r="I58" s="121">
        <v>4232</v>
      </c>
      <c r="J58" s="99"/>
      <c r="K58" s="109">
        <v>472</v>
      </c>
      <c r="L58" s="112">
        <v>0</v>
      </c>
    </row>
    <row r="59" spans="1:12" ht="12.75">
      <c r="A59" s="100" t="s">
        <v>385</v>
      </c>
      <c r="B59" s="109">
        <v>10676</v>
      </c>
      <c r="C59" s="109">
        <f>18+4145</f>
        <v>4163</v>
      </c>
      <c r="D59" s="109">
        <v>1382</v>
      </c>
      <c r="E59" s="110">
        <v>6.88</v>
      </c>
      <c r="F59" s="111">
        <v>10.84</v>
      </c>
      <c r="G59" s="109">
        <f t="shared" si="2"/>
        <v>19453</v>
      </c>
      <c r="H59" s="109">
        <f t="shared" si="1"/>
        <v>9250</v>
      </c>
      <c r="I59" s="121">
        <v>1426</v>
      </c>
      <c r="J59" s="99"/>
      <c r="K59" s="109">
        <v>3647</v>
      </c>
      <c r="L59" s="112">
        <v>0</v>
      </c>
    </row>
    <row r="60" spans="1:12" ht="12.75">
      <c r="A60" s="100" t="s">
        <v>386</v>
      </c>
      <c r="B60" s="109">
        <v>3191</v>
      </c>
      <c r="C60" s="109">
        <f>2034+18853</f>
        <v>20887</v>
      </c>
      <c r="D60" s="109">
        <v>2016</v>
      </c>
      <c r="E60" s="110">
        <v>11.25</v>
      </c>
      <c r="F60" s="111">
        <v>0.26</v>
      </c>
      <c r="G60" s="109">
        <f t="shared" si="2"/>
        <v>-259</v>
      </c>
      <c r="H60" s="109">
        <f t="shared" si="1"/>
        <v>1130</v>
      </c>
      <c r="I60" s="121">
        <v>2061</v>
      </c>
      <c r="J60" s="99"/>
      <c r="K60" s="109">
        <v>19015</v>
      </c>
      <c r="L60" s="112">
        <v>12118</v>
      </c>
    </row>
    <row r="61" spans="1:12" ht="12.75">
      <c r="A61" s="100" t="s">
        <v>387</v>
      </c>
      <c r="B61" s="109">
        <v>4930</v>
      </c>
      <c r="C61" s="109">
        <f>25+13305</f>
        <v>13330</v>
      </c>
      <c r="D61" s="109">
        <v>1083</v>
      </c>
      <c r="E61" s="110">
        <v>8.09</v>
      </c>
      <c r="F61" s="111">
        <v>4.3</v>
      </c>
      <c r="G61" s="109">
        <f t="shared" si="2"/>
        <v>-9742</v>
      </c>
      <c r="H61" s="109">
        <f t="shared" si="1"/>
        <v>1642</v>
      </c>
      <c r="I61" s="121">
        <v>3288</v>
      </c>
      <c r="J61" s="99"/>
      <c r="K61" s="109">
        <v>12472</v>
      </c>
      <c r="L61" s="112">
        <v>8372</v>
      </c>
    </row>
    <row r="62" spans="1:12" ht="12.75">
      <c r="A62" s="100" t="s">
        <v>388</v>
      </c>
      <c r="B62" s="109">
        <v>4040</v>
      </c>
      <c r="C62" s="109">
        <v>19</v>
      </c>
      <c r="D62" s="109">
        <v>701</v>
      </c>
      <c r="E62" s="110">
        <v>5.03</v>
      </c>
      <c r="F62" s="111">
        <v>4.78</v>
      </c>
      <c r="G62" s="109">
        <f t="shared" si="2"/>
        <v>-6422</v>
      </c>
      <c r="H62" s="109">
        <f t="shared" si="1"/>
        <v>2458</v>
      </c>
      <c r="I62" s="121">
        <v>1582</v>
      </c>
      <c r="J62" s="99"/>
      <c r="K62" s="109">
        <v>0</v>
      </c>
      <c r="L62" s="112">
        <v>0</v>
      </c>
    </row>
    <row r="63" spans="1:12" ht="12.75">
      <c r="A63" s="100" t="s">
        <v>389</v>
      </c>
      <c r="B63" s="109">
        <v>1427</v>
      </c>
      <c r="C63" s="109">
        <v>16</v>
      </c>
      <c r="D63" s="109">
        <v>601</v>
      </c>
      <c r="E63" s="110">
        <v>4.57</v>
      </c>
      <c r="F63" s="111">
        <v>0.83</v>
      </c>
      <c r="G63" s="109">
        <f t="shared" si="2"/>
        <v>-5612</v>
      </c>
      <c r="H63" s="109">
        <f t="shared" si="1"/>
        <v>238</v>
      </c>
      <c r="I63" s="121">
        <v>1189</v>
      </c>
      <c r="J63" s="109"/>
      <c r="K63" s="112">
        <v>0</v>
      </c>
      <c r="L63" s="112">
        <v>0</v>
      </c>
    </row>
    <row r="64" spans="1:12" ht="12.75">
      <c r="A64" s="100" t="s">
        <v>390</v>
      </c>
      <c r="B64" s="109">
        <v>2888</v>
      </c>
      <c r="C64" s="109">
        <v>12</v>
      </c>
      <c r="D64" s="109">
        <v>357</v>
      </c>
      <c r="E64" s="110">
        <v>0</v>
      </c>
      <c r="F64" s="111">
        <v>1.92</v>
      </c>
      <c r="G64" s="109">
        <f t="shared" si="2"/>
        <v>-3093</v>
      </c>
      <c r="H64" s="109">
        <f t="shared" si="1"/>
        <v>882</v>
      </c>
      <c r="I64" s="121">
        <v>2006</v>
      </c>
      <c r="J64" s="109"/>
      <c r="K64" s="112">
        <v>0</v>
      </c>
      <c r="L64" s="112">
        <v>0</v>
      </c>
    </row>
    <row r="65" spans="1:12" ht="13.5" thickBot="1">
      <c r="A65" s="100" t="s">
        <v>391</v>
      </c>
      <c r="B65" s="109">
        <v>3123</v>
      </c>
      <c r="C65" s="109">
        <v>12</v>
      </c>
      <c r="D65" s="109">
        <v>174</v>
      </c>
      <c r="E65" s="110">
        <v>0</v>
      </c>
      <c r="F65" s="111">
        <v>0.73</v>
      </c>
      <c r="G65" s="109">
        <f t="shared" si="2"/>
        <v>-156</v>
      </c>
      <c r="H65" s="109">
        <f t="shared" si="1"/>
        <v>573</v>
      </c>
      <c r="I65" s="109">
        <v>2550</v>
      </c>
      <c r="J65" s="109"/>
      <c r="K65" s="112">
        <v>0</v>
      </c>
      <c r="L65" s="112">
        <v>0</v>
      </c>
    </row>
    <row r="66" spans="1:12" ht="13.5" thickTop="1">
      <c r="A66" s="113" t="s">
        <v>309</v>
      </c>
      <c r="B66" s="113">
        <f>SUM(B54:B65)</f>
        <v>47555</v>
      </c>
      <c r="C66" s="113">
        <f>SUM(C54:C65)</f>
        <v>39079</v>
      </c>
      <c r="D66" s="113">
        <f>SUM(D54:D65)</f>
        <v>8632</v>
      </c>
      <c r="E66" s="114">
        <f>SUM(E54:E65)</f>
        <v>48.830000000000005</v>
      </c>
      <c r="F66" s="114">
        <f>SUM(F54:F65)</f>
        <v>32.42</v>
      </c>
      <c r="G66" s="114" t="s">
        <v>392</v>
      </c>
      <c r="H66" s="113">
        <f>SUM(H54:H65)</f>
        <v>20959</v>
      </c>
      <c r="I66" s="113">
        <f>SUM(I54:I65)</f>
        <v>26596</v>
      </c>
      <c r="J66" s="113"/>
      <c r="K66" s="113">
        <f>SUM(K54:K65)</f>
        <v>35606</v>
      </c>
      <c r="L66" s="113">
        <f>SUM(L54:L65)</f>
        <v>20490</v>
      </c>
    </row>
    <row r="67" spans="1:12" ht="12.75">
      <c r="A67" s="116" t="s">
        <v>417</v>
      </c>
      <c r="B67" s="104"/>
      <c r="C67" s="104"/>
      <c r="D67" s="104"/>
      <c r="E67" s="99"/>
      <c r="F67" s="99"/>
      <c r="G67" s="112"/>
      <c r="H67" s="99"/>
      <c r="I67" s="99"/>
      <c r="J67" s="99"/>
      <c r="K67" s="99"/>
      <c r="L67" s="99"/>
    </row>
  </sheetData>
  <sheetProtection/>
  <mergeCells count="15">
    <mergeCell ref="A1:K1"/>
    <mergeCell ref="A2:K2"/>
    <mergeCell ref="B3:F3"/>
    <mergeCell ref="H4:I4"/>
    <mergeCell ref="K4:L4"/>
    <mergeCell ref="A47:K47"/>
    <mergeCell ref="A48:K48"/>
    <mergeCell ref="B49:F49"/>
    <mergeCell ref="K50:L50"/>
    <mergeCell ref="A23:K23"/>
    <mergeCell ref="A24:K24"/>
    <mergeCell ref="G25:K25"/>
    <mergeCell ref="B26:E26"/>
    <mergeCell ref="G26:H26"/>
    <mergeCell ref="J26:K26"/>
  </mergeCells>
  <printOptions/>
  <pageMargins left="0.75" right="0.75" top="1" bottom="1" header="0.5" footer="0.5"/>
  <pageSetup fitToHeight="1" fitToWidth="1" horizontalDpi="600" verticalDpi="600" orientation="portrait" scale="77" r:id="rId1"/>
  <headerFooter alignWithMargins="0">
    <oddHeader>&amp;LRRCA 
Compact Accounting&amp;RPage &amp;P of &amp;N</oddHead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G66"/>
  <sheetViews>
    <sheetView zoomScalePageLayoutView="0" workbookViewId="0" topLeftCell="A1">
      <selection activeCell="A1" sqref="A1"/>
    </sheetView>
  </sheetViews>
  <sheetFormatPr defaultColWidth="9.140625" defaultRowHeight="12.75"/>
  <cols>
    <col min="1" max="1" width="68.8515625" style="0" customWidth="1"/>
    <col min="2" max="2" width="9.7109375" style="0" customWidth="1"/>
  </cols>
  <sheetData>
    <row r="1" spans="1:3" ht="15.75">
      <c r="A1" s="62" t="s">
        <v>179</v>
      </c>
      <c r="B1">
        <v>2003</v>
      </c>
      <c r="C1" s="1"/>
    </row>
    <row r="2" spans="4:7" ht="12.75">
      <c r="D2" s="15"/>
      <c r="E2" s="1"/>
      <c r="F2" s="1"/>
      <c r="G2" s="1"/>
    </row>
    <row r="3" spans="1:7" ht="15.75">
      <c r="A3" s="10" t="s">
        <v>180</v>
      </c>
      <c r="D3" s="1"/>
      <c r="E3" s="1"/>
      <c r="F3" s="1"/>
      <c r="G3" s="1"/>
    </row>
    <row r="4" spans="1:7" ht="12.75">
      <c r="A4" s="8" t="s">
        <v>181</v>
      </c>
      <c r="D4" s="1"/>
      <c r="E4" s="1"/>
      <c r="F4" s="1"/>
      <c r="G4" s="1"/>
    </row>
    <row r="5" spans="1:2" ht="12.75">
      <c r="A5" s="55" t="str">
        <f>INPUT!B46</f>
        <v>Imported Water Nebraska</v>
      </c>
      <c r="B5" s="55">
        <f>+INPUT!C46</f>
        <v>0</v>
      </c>
    </row>
    <row r="6" spans="1:2" ht="12.75">
      <c r="A6" s="55" t="str">
        <f>INPUT!B4</f>
        <v>GW CBCU Colorado</v>
      </c>
      <c r="B6" s="55">
        <f>+INPUT!C4</f>
        <v>14023</v>
      </c>
    </row>
    <row r="7" spans="1:2" ht="12.75">
      <c r="A7" s="55" t="str">
        <f>INPUT!B5</f>
        <v>GW CBCU Kansas</v>
      </c>
      <c r="B7" s="55">
        <f>+INPUT!C5</f>
        <v>17</v>
      </c>
    </row>
    <row r="8" spans="1:2" ht="12" customHeight="1">
      <c r="A8" s="55" t="str">
        <f>INPUT!B6</f>
        <v>GW CBCU Nebraska</v>
      </c>
      <c r="B8" s="55">
        <f>+INPUT!C6</f>
        <v>1402</v>
      </c>
    </row>
    <row r="9" spans="1:2" ht="12" customHeight="1">
      <c r="A9" s="9"/>
      <c r="B9" s="9"/>
    </row>
    <row r="10" spans="1:2" ht="12.75">
      <c r="A10" s="5" t="s">
        <v>183</v>
      </c>
      <c r="B10" s="2"/>
    </row>
    <row r="11" spans="1:2" ht="12.75">
      <c r="A11" s="59" t="str">
        <f>INPUT!B183</f>
        <v>North Fork Republican River At Colorado-Nebraska State Line</v>
      </c>
      <c r="B11" s="55">
        <f>+INPUT!C183</f>
        <v>17700</v>
      </c>
    </row>
    <row r="12" spans="1:2" ht="12.75">
      <c r="A12" s="59" t="str">
        <f>INPUT!B232</f>
        <v>Haigler Canal Diversions - Colorado</v>
      </c>
      <c r="B12" s="55">
        <f>+INPUT!C232</f>
        <v>1948</v>
      </c>
    </row>
    <row r="13" spans="1:2" ht="12.75">
      <c r="A13" s="59" t="str">
        <f>INPUT!B62</f>
        <v>SW Diversions - Irrigation -Non-Federal Canals- Colorado</v>
      </c>
      <c r="B13" s="55">
        <f>+INPUT!C62</f>
        <v>2410</v>
      </c>
    </row>
    <row r="14" spans="1:2" ht="12.75">
      <c r="A14" s="150" t="str">
        <f>INPUT!B63</f>
        <v>SW Diversions - Irrigation - Small Pumps - Colorado</v>
      </c>
      <c r="B14" s="151">
        <f>INPUT!C63</f>
        <v>0</v>
      </c>
    </row>
    <row r="15" spans="1:2" ht="12.75">
      <c r="A15" s="59" t="str">
        <f>INPUT!B64</f>
        <v>SW Diversions - M&amp;I - Colorado</v>
      </c>
      <c r="B15" s="55">
        <f>+INPUT!C64</f>
        <v>0</v>
      </c>
    </row>
    <row r="16" spans="1:3" ht="12.75">
      <c r="A16" s="59" t="str">
        <f>INPUT!B233</f>
        <v>Haigler Canal Diversions - Nebraska</v>
      </c>
      <c r="B16" s="55">
        <f>+INPUT!C233</f>
        <v>4965</v>
      </c>
      <c r="C16" s="70"/>
    </row>
    <row r="17" spans="1:3" ht="12.75">
      <c r="A17" s="59" t="str">
        <f>INPUT!B153</f>
        <v>Non-Federal Reservoir Evaporation - Colorado</v>
      </c>
      <c r="B17" s="55">
        <f>+INPUT!C153</f>
        <v>0</v>
      </c>
      <c r="C17" s="70"/>
    </row>
    <row r="18" spans="1:2" ht="12.75">
      <c r="A18" s="55" t="str">
        <f>+INPUT!B200</f>
        <v>North Fork Flood Flow</v>
      </c>
      <c r="B18" s="55">
        <f>+INPUT!C200</f>
        <v>0</v>
      </c>
    </row>
    <row r="19" spans="1:2" ht="12.75">
      <c r="A19" s="6" t="s">
        <v>84</v>
      </c>
      <c r="B19" s="2"/>
    </row>
    <row r="20" spans="1:2" ht="15.75">
      <c r="A20" s="10" t="s">
        <v>266</v>
      </c>
      <c r="B20" s="2"/>
    </row>
    <row r="21" spans="1:2" ht="12.75">
      <c r="A21" s="8" t="s">
        <v>0</v>
      </c>
      <c r="B21" s="2"/>
    </row>
    <row r="22" spans="1:2" ht="12.75">
      <c r="A22" s="82" t="str">
        <f>(LEFT(INPUT!B232,13))&amp;" "&amp;"CBCU"</f>
        <v>Haigler Canal CBCU</v>
      </c>
      <c r="B22" s="2">
        <f>B12*CanalCUPercent</f>
        <v>1168.8</v>
      </c>
    </row>
    <row r="23" spans="1:2" ht="12.75">
      <c r="A23" s="2" t="s">
        <v>255</v>
      </c>
      <c r="B23" s="2">
        <f>B13*CanalCUPercent</f>
        <v>1446</v>
      </c>
    </row>
    <row r="24" spans="1:2" ht="12.75">
      <c r="A24" s="2" t="s">
        <v>256</v>
      </c>
      <c r="B24" s="2">
        <f>B14*PumperCUPercent</f>
        <v>0</v>
      </c>
    </row>
    <row r="25" spans="1:2" ht="12.75">
      <c r="A25" s="2" t="s">
        <v>257</v>
      </c>
      <c r="B25" s="2">
        <f>B15*MI_CUPercent</f>
        <v>0</v>
      </c>
    </row>
    <row r="26" spans="1:2" ht="12.75">
      <c r="A26" s="9" t="s">
        <v>544</v>
      </c>
      <c r="B26" s="2">
        <f>+B17</f>
        <v>0</v>
      </c>
    </row>
    <row r="27" spans="1:3" ht="12.75">
      <c r="A27" s="2" t="s">
        <v>242</v>
      </c>
      <c r="B27" s="80">
        <f>B22+B23+B24+B25+B26</f>
        <v>2614.8</v>
      </c>
      <c r="C27" s="77"/>
    </row>
    <row r="28" spans="1:3" ht="12.75">
      <c r="A28" s="2" t="s">
        <v>243</v>
      </c>
      <c r="B28" s="17">
        <f>B6</f>
        <v>14023</v>
      </c>
      <c r="C28" s="77"/>
    </row>
    <row r="29" spans="1:2" ht="12.75">
      <c r="A29" s="2" t="s">
        <v>259</v>
      </c>
      <c r="B29" s="4">
        <f>(ROUND(SUM(B27:B28),-1))</f>
        <v>16640</v>
      </c>
    </row>
    <row r="30" spans="1:2" ht="12.75">
      <c r="A30" s="2" t="s">
        <v>84</v>
      </c>
      <c r="B30" s="2"/>
    </row>
    <row r="31" spans="1:2" ht="12.75">
      <c r="A31" s="8" t="s">
        <v>184</v>
      </c>
      <c r="B31" s="2"/>
    </row>
    <row r="32" spans="1:3" ht="12.75">
      <c r="A32" s="2" t="str">
        <f>A28</f>
        <v>GW CBCU</v>
      </c>
      <c r="B32" s="17">
        <f>B7</f>
        <v>17</v>
      </c>
      <c r="C32" s="77"/>
    </row>
    <row r="33" spans="1:2" ht="12.75">
      <c r="A33" s="2" t="str">
        <f>A29</f>
        <v>Total CBCU</v>
      </c>
      <c r="B33" s="4">
        <f>(ROUND(SUM(B32:B32),-1))</f>
        <v>20</v>
      </c>
    </row>
    <row r="34" spans="1:2" ht="12.75">
      <c r="A34" s="2" t="s">
        <v>84</v>
      </c>
      <c r="B34" s="2"/>
    </row>
    <row r="35" spans="1:2" ht="12.75">
      <c r="A35" s="8" t="s">
        <v>1</v>
      </c>
      <c r="B35" s="2"/>
    </row>
    <row r="36" spans="1:2" ht="12.75">
      <c r="A36" s="12" t="str">
        <f>A22</f>
        <v>Haigler Canal CBCU</v>
      </c>
      <c r="B36" s="2">
        <f>+B16*CanalCUPercent</f>
        <v>2979</v>
      </c>
    </row>
    <row r="37" spans="1:3" ht="13.5" customHeight="1">
      <c r="A37" s="2" t="str">
        <f>A27</f>
        <v>SW CBCU</v>
      </c>
      <c r="B37" s="80">
        <f>B36</f>
        <v>2979</v>
      </c>
      <c r="C37" s="93"/>
    </row>
    <row r="38" spans="1:3" ht="12.75">
      <c r="A38" s="2" t="str">
        <f>A28</f>
        <v>GW CBCU</v>
      </c>
      <c r="B38" s="17">
        <f>B8</f>
        <v>1402</v>
      </c>
      <c r="C38" s="77"/>
    </row>
    <row r="39" spans="1:2" ht="12.75">
      <c r="A39" s="2" t="str">
        <f>A29</f>
        <v>Total CBCU</v>
      </c>
      <c r="B39" s="4">
        <f>(ROUND(SUM(B37:B38),-1))</f>
        <v>4380</v>
      </c>
    </row>
    <row r="40" spans="1:2" ht="12.75">
      <c r="A40" s="9" t="s">
        <v>84</v>
      </c>
      <c r="B40" s="2"/>
    </row>
    <row r="41" spans="1:2" ht="12.75">
      <c r="A41" s="5" t="s">
        <v>185</v>
      </c>
      <c r="B41" s="2"/>
    </row>
    <row r="42" spans="1:2" ht="12.75">
      <c r="A42" s="9" t="s">
        <v>244</v>
      </c>
      <c r="B42" s="4">
        <f>+B27+B37</f>
        <v>5593.8</v>
      </c>
    </row>
    <row r="43" spans="1:2" ht="12.75">
      <c r="A43" s="9" t="s">
        <v>245</v>
      </c>
      <c r="B43" s="4">
        <f>+B28+B32+B38</f>
        <v>15442</v>
      </c>
    </row>
    <row r="44" spans="1:2" ht="12.75">
      <c r="A44" s="9" t="s">
        <v>246</v>
      </c>
      <c r="B44" s="4">
        <f>SUM(B42:B43)</f>
        <v>21035.8</v>
      </c>
    </row>
    <row r="45" spans="1:2" ht="12.75">
      <c r="A45" s="9" t="s">
        <v>84</v>
      </c>
      <c r="B45" s="2"/>
    </row>
    <row r="46" spans="1:2" ht="15.75">
      <c r="A46" s="11" t="s">
        <v>10</v>
      </c>
      <c r="B46" s="2"/>
    </row>
    <row r="47" spans="1:2" ht="12.75">
      <c r="A47" s="2" t="str">
        <f>A11</f>
        <v>North Fork Republican River At Colorado-Nebraska State Line</v>
      </c>
      <c r="B47" s="4">
        <f>B11</f>
        <v>17700</v>
      </c>
    </row>
    <row r="48" spans="1:2" ht="12.75">
      <c r="A48" s="2" t="s">
        <v>187</v>
      </c>
      <c r="B48" s="4">
        <f>B16-B36</f>
        <v>1986</v>
      </c>
    </row>
    <row r="49" spans="1:2" ht="12.75">
      <c r="A49" s="2" t="s">
        <v>247</v>
      </c>
      <c r="B49" s="4">
        <f>+B29</f>
        <v>16640</v>
      </c>
    </row>
    <row r="50" spans="1:2" ht="12.75">
      <c r="A50" s="2" t="s">
        <v>248</v>
      </c>
      <c r="B50" s="4">
        <f>+B33</f>
        <v>20</v>
      </c>
    </row>
    <row r="51" spans="1:2" ht="12.75">
      <c r="A51" s="2" t="s">
        <v>249</v>
      </c>
      <c r="B51" s="4">
        <f>+B39</f>
        <v>4380</v>
      </c>
    </row>
    <row r="52" spans="1:3" ht="12.75">
      <c r="A52" s="2" t="s">
        <v>186</v>
      </c>
      <c r="B52" s="17">
        <f>+B5</f>
        <v>0</v>
      </c>
      <c r="C52" s="77"/>
    </row>
    <row r="53" spans="1:2" ht="12.75">
      <c r="A53" s="2" t="s">
        <v>10</v>
      </c>
      <c r="B53" s="4">
        <f>ROUND(SUM(B47:B51)-B52,-1)</f>
        <v>40730</v>
      </c>
    </row>
    <row r="54" spans="1:2" ht="12.75">
      <c r="A54" s="2" t="s">
        <v>188</v>
      </c>
      <c r="B54" s="2">
        <f>B18</f>
        <v>0</v>
      </c>
    </row>
    <row r="55" spans="1:2" ht="12.75">
      <c r="A55" s="2" t="s">
        <v>11</v>
      </c>
      <c r="B55" s="4">
        <f>ROUND(+B53-B54,-1)</f>
        <v>40730</v>
      </c>
    </row>
    <row r="56" spans="1:2" ht="12.75">
      <c r="A56" s="9" t="s">
        <v>84</v>
      </c>
      <c r="B56" s="2"/>
    </row>
    <row r="57" spans="1:2" ht="15.75">
      <c r="A57" s="11" t="s">
        <v>12</v>
      </c>
      <c r="B57" s="13"/>
    </row>
    <row r="58" spans="1:2" ht="12.75">
      <c r="A58" s="2" t="s">
        <v>189</v>
      </c>
      <c r="B58" s="79">
        <f>'T2'!D3</f>
        <v>0.224</v>
      </c>
    </row>
    <row r="59" spans="1:2" ht="12.75">
      <c r="A59" s="2" t="s">
        <v>27</v>
      </c>
      <c r="B59" s="32">
        <f>ROUND(+B55*B58,-1)</f>
        <v>9120</v>
      </c>
    </row>
    <row r="60" spans="1:2" ht="12.75">
      <c r="A60" s="2" t="s">
        <v>190</v>
      </c>
      <c r="B60" s="79">
        <f>'T2'!F3</f>
        <v>0</v>
      </c>
    </row>
    <row r="61" spans="1:2" ht="12.75">
      <c r="A61" s="2" t="s">
        <v>29</v>
      </c>
      <c r="B61" s="32">
        <f>ROUND(B55*B60,-1)</f>
        <v>0</v>
      </c>
    </row>
    <row r="62" spans="1:2" ht="12.75">
      <c r="A62" s="2" t="s">
        <v>191</v>
      </c>
      <c r="B62" s="79">
        <f>'T2'!H3</f>
        <v>0.246</v>
      </c>
    </row>
    <row r="63" spans="1:2" ht="12.75">
      <c r="A63" s="2" t="s">
        <v>30</v>
      </c>
      <c r="B63" s="32">
        <f>ROUND(B55*B62,-1)</f>
        <v>10020</v>
      </c>
    </row>
    <row r="64" spans="1:2" ht="12.75">
      <c r="A64" s="2" t="s">
        <v>192</v>
      </c>
      <c r="B64" s="32">
        <f>+B59+B61+B63</f>
        <v>19140</v>
      </c>
    </row>
    <row r="65" spans="1:2" ht="12.75">
      <c r="A65" s="2" t="s">
        <v>193</v>
      </c>
      <c r="B65" s="79">
        <f>'T2'!J3</f>
        <v>0.53</v>
      </c>
    </row>
    <row r="66" spans="1:2" ht="12.75">
      <c r="A66" s="2" t="s">
        <v>194</v>
      </c>
      <c r="B66" s="4">
        <f>+B55-B59-B61-B63</f>
        <v>21590</v>
      </c>
    </row>
  </sheetData>
  <sheetProtection/>
  <printOptions headings="1"/>
  <pageMargins left="0.75" right="0.75" top="0.75" bottom="0.5" header="0.25" footer="0.5"/>
  <pageSetup fitToHeight="2" fitToWidth="1" horizontalDpi="600" verticalDpi="600" orientation="portrait" paperSize="3" r:id="rId1"/>
  <headerFooter alignWithMargins="0">
    <oddHeader>&amp;LRRCA
Compact Accounting&amp;C&amp;A SUB-BASIN&amp;RPage &amp;P of &amp;N</oddHeader>
  </headerFooter>
  <rowBreaks count="1" manualBreakCount="1">
    <brk id="44" max="2" man="1"/>
  </rowBreaks>
</worksheet>
</file>

<file path=xl/worksheets/sheet4.xml><?xml version="1.0" encoding="utf-8"?>
<worksheet xmlns="http://schemas.openxmlformats.org/spreadsheetml/2006/main" xmlns:r="http://schemas.openxmlformats.org/officeDocument/2006/relationships">
  <sheetPr codeName="Sheet4">
    <pageSetUpPr fitToPage="1"/>
  </sheetPr>
  <dimension ref="A1:F78"/>
  <sheetViews>
    <sheetView zoomScalePageLayoutView="0" workbookViewId="0" topLeftCell="A1">
      <selection activeCell="A1" sqref="A1"/>
    </sheetView>
  </sheetViews>
  <sheetFormatPr defaultColWidth="9.140625" defaultRowHeight="12.75"/>
  <cols>
    <col min="1" max="1" width="69.421875" style="0" customWidth="1"/>
    <col min="2" max="2" width="7.8515625" style="0" customWidth="1"/>
  </cols>
  <sheetData>
    <row r="1" spans="1:2" ht="15.75">
      <c r="A1" s="62" t="s">
        <v>223</v>
      </c>
      <c r="B1">
        <v>2003</v>
      </c>
    </row>
    <row r="2" spans="1:6" ht="12.75">
      <c r="C2" s="15"/>
      <c r="D2" s="1"/>
      <c r="E2" s="1"/>
      <c r="F2" s="1"/>
    </row>
    <row r="3" spans="1:6" ht="15.75">
      <c r="A3" s="10" t="s">
        <v>180</v>
      </c>
      <c r="C3" s="1"/>
      <c r="D3" s="1"/>
      <c r="E3" s="1"/>
      <c r="F3" s="1"/>
    </row>
    <row r="4" spans="1:6" ht="12.75">
      <c r="A4" s="8" t="s">
        <v>181</v>
      </c>
      <c r="B4" s="1"/>
      <c r="C4" s="1"/>
      <c r="D4" s="1"/>
      <c r="E4" s="1"/>
      <c r="F4" s="1"/>
    </row>
    <row r="5" spans="1:2" ht="12.75">
      <c r="A5" s="55" t="str">
        <f>INPUT!B47</f>
        <v>Imported Water Nebraska</v>
      </c>
      <c r="B5" s="55">
        <f>+INPUT!C47</f>
        <v>0</v>
      </c>
    </row>
    <row r="6" spans="1:2" ht="12.75">
      <c r="A6" s="55" t="str">
        <f>INPUT!B7</f>
        <v>GW CBCU Colorado</v>
      </c>
      <c r="B6" s="55">
        <f>+INPUT!C7</f>
        <v>242</v>
      </c>
    </row>
    <row r="7" spans="1:2" ht="12.75">
      <c r="A7" s="55" t="str">
        <f>INPUT!B8</f>
        <v>GW CBCU Kansas</v>
      </c>
      <c r="B7" s="55">
        <f>+INPUT!C8</f>
        <v>100</v>
      </c>
    </row>
    <row r="8" spans="1:2" ht="12" customHeight="1">
      <c r="A8" s="55" t="str">
        <f>INPUT!B9</f>
        <v>GW CBCU Nebraska</v>
      </c>
      <c r="B8" s="63">
        <f>+INPUT!C9</f>
        <v>508</v>
      </c>
    </row>
    <row r="9" spans="1:2" ht="12" customHeight="1">
      <c r="A9" s="64" t="s">
        <v>84</v>
      </c>
      <c r="B9" s="64"/>
    </row>
    <row r="10" spans="1:2" ht="12.75">
      <c r="A10" s="5" t="s">
        <v>183</v>
      </c>
      <c r="B10" s="2"/>
    </row>
    <row r="11" spans="1:2" ht="12.75">
      <c r="A11" s="55" t="str">
        <f>+INPUT!B184</f>
        <v>Arikaree River At Haigler</v>
      </c>
      <c r="B11" s="55">
        <f>+INPUT!C184</f>
        <v>1060</v>
      </c>
    </row>
    <row r="12" spans="1:2" ht="12.75">
      <c r="A12" s="55" t="str">
        <f>INPUT!B65</f>
        <v>SW Diversions - Irrigation -Non-Federal Canals- Colorado</v>
      </c>
      <c r="B12" s="55">
        <f>INPUT!C65</f>
        <v>0</v>
      </c>
    </row>
    <row r="13" spans="1:2" ht="12.75">
      <c r="A13" s="152" t="str">
        <f>INPUT!B66</f>
        <v>SW Diversions - Irrigation - Small Pumps - Colorado</v>
      </c>
      <c r="B13" s="152">
        <f>INPUT!C66</f>
        <v>0</v>
      </c>
    </row>
    <row r="14" spans="1:2" ht="12.75">
      <c r="A14" s="152" t="str">
        <f>+INPUT!B67</f>
        <v>SW Diversions - M&amp;I - Colorado</v>
      </c>
      <c r="B14" s="152">
        <f>+INPUT!C67</f>
        <v>0</v>
      </c>
    </row>
    <row r="15" spans="1:2" ht="12.75">
      <c r="A15" s="152" t="str">
        <f>+INPUT!B68</f>
        <v>SW Diversions - Irrigation - Non-Federal Canals- Kansas</v>
      </c>
      <c r="B15" s="152">
        <f>+INPUT!C68</f>
        <v>0</v>
      </c>
    </row>
    <row r="16" spans="1:2" ht="12.75">
      <c r="A16" s="152" t="str">
        <f>+INPUT!B69</f>
        <v>SW Diversions - Irrigation - Small Pumps - Kansas</v>
      </c>
      <c r="B16" s="152">
        <f>+INPUT!C69</f>
        <v>0</v>
      </c>
    </row>
    <row r="17" spans="1:2" ht="12.75">
      <c r="A17" s="152" t="str">
        <f>+INPUT!B70</f>
        <v>SW Diversions - M&amp;I - Kansas</v>
      </c>
      <c r="B17" s="152">
        <f>+INPUT!C70</f>
        <v>0</v>
      </c>
    </row>
    <row r="18" spans="1:2" ht="12.75">
      <c r="A18" s="152" t="str">
        <f>+INPUT!B71</f>
        <v>SW Diversions - Irrigation - Non-Federal Canals - Nebraska</v>
      </c>
      <c r="B18" s="152">
        <f>+INPUT!C71</f>
        <v>0</v>
      </c>
    </row>
    <row r="19" spans="1:2" ht="12.75">
      <c r="A19" s="55" t="str">
        <f>+INPUT!B72</f>
        <v>SW Diversions - Irrigation - Small Pumps - Nebraska</v>
      </c>
      <c r="B19" s="55">
        <f>+INPUT!C72</f>
        <v>0</v>
      </c>
    </row>
    <row r="20" spans="1:2" ht="12.75">
      <c r="A20" s="55" t="str">
        <f>+INPUT!B73</f>
        <v>SW Diversions - M&amp;I - Nebraska</v>
      </c>
      <c r="B20" s="55">
        <f>+INPUT!C73</f>
        <v>0</v>
      </c>
    </row>
    <row r="21" spans="1:2" ht="12.75">
      <c r="A21" s="55" t="str">
        <f>+INPUT!B155</f>
        <v>Non-Federal Reservoir Evaporation - Colorado</v>
      </c>
      <c r="B21" s="55">
        <f>+INPUT!C155</f>
        <v>0</v>
      </c>
    </row>
    <row r="22" spans="1:2" ht="12.75">
      <c r="A22" s="55" t="str">
        <f>+INPUT!B156</f>
        <v>Non-Federal Reservoir Evaporation - Kansas</v>
      </c>
      <c r="B22" s="55">
        <f>+INPUT!C156</f>
        <v>0</v>
      </c>
    </row>
    <row r="23" spans="1:2" ht="12.75">
      <c r="A23" s="55" t="str">
        <f>+INPUT!B157</f>
        <v>Non-Federal Reservoir Evaporation - Nebraska</v>
      </c>
      <c r="B23" s="55">
        <f>+INPUT!C157</f>
        <v>0</v>
      </c>
    </row>
    <row r="24" spans="1:2" ht="12.75">
      <c r="A24" s="55" t="str">
        <f>+INPUT!B201</f>
        <v>Arikaree Flood Flow</v>
      </c>
      <c r="B24" s="55">
        <f>+INPUT!C201</f>
        <v>0</v>
      </c>
    </row>
    <row r="25" spans="1:2" ht="12.75">
      <c r="A25" s="6" t="s">
        <v>84</v>
      </c>
      <c r="B25" s="2"/>
    </row>
    <row r="26" spans="1:2" ht="15.75">
      <c r="A26" s="10" t="s">
        <v>266</v>
      </c>
      <c r="B26" s="2"/>
    </row>
    <row r="27" spans="1:2" ht="12.75">
      <c r="A27" s="8" t="s">
        <v>0</v>
      </c>
      <c r="B27" s="2"/>
    </row>
    <row r="28" spans="1:2" ht="12.75">
      <c r="A28" s="147" t="str">
        <f>'NORTH FORK'!A23</f>
        <v>SW CBCU - Irrigation - Non Federal Canals</v>
      </c>
      <c r="B28" s="153">
        <f>B12*CanalCUPercent</f>
        <v>0</v>
      </c>
    </row>
    <row r="29" spans="1:2" ht="12.75">
      <c r="A29" s="147" t="str">
        <f>'NORTH FORK'!A24</f>
        <v>SW CBCU - Irrigation - Small Pumps</v>
      </c>
      <c r="B29" s="153">
        <f>B13*PumperCUPercent</f>
        <v>0</v>
      </c>
    </row>
    <row r="30" spans="1:2" ht="12.75">
      <c r="A30" s="147" t="str">
        <f>'NORTH FORK'!A25</f>
        <v>SW CBCU - M&amp;I</v>
      </c>
      <c r="B30" s="153">
        <f>B14*MI_CUPercent</f>
        <v>0</v>
      </c>
    </row>
    <row r="31" spans="1:2" ht="12.75">
      <c r="A31" s="147" t="str">
        <f>'NORTH FORK'!A26</f>
        <v>Non-Federal Reservoir Evaporation</v>
      </c>
      <c r="B31" s="147">
        <f>B21</f>
        <v>0</v>
      </c>
    </row>
    <row r="32" spans="1:3" ht="12.75">
      <c r="A32" s="147" t="str">
        <f>'NORTH FORK'!A27</f>
        <v>SW CBCU</v>
      </c>
      <c r="B32" s="154">
        <f>B28+B29+B30+B31</f>
        <v>0</v>
      </c>
      <c r="C32" s="77"/>
    </row>
    <row r="33" spans="1:3" ht="12.75">
      <c r="A33" s="147" t="str">
        <f>'NORTH FORK'!A28</f>
        <v>GW CBCU</v>
      </c>
      <c r="B33" s="147">
        <f>B6</f>
        <v>242</v>
      </c>
      <c r="C33" s="77"/>
    </row>
    <row r="34" spans="1:2" ht="12.75">
      <c r="A34" s="147" t="str">
        <f>'NORTH FORK'!A29</f>
        <v>Total CBCU</v>
      </c>
      <c r="B34" s="154">
        <f>(ROUND(SUM(B32:B33),-1))</f>
        <v>240</v>
      </c>
    </row>
    <row r="35" spans="1:2" ht="12.75">
      <c r="A35" s="147" t="s">
        <v>84</v>
      </c>
      <c r="B35" s="147"/>
    </row>
    <row r="36" spans="1:2" ht="12.75">
      <c r="A36" s="155" t="s">
        <v>184</v>
      </c>
      <c r="B36" s="156"/>
    </row>
    <row r="37" spans="1:2" ht="12.75">
      <c r="A37" s="157" t="str">
        <f aca="true" t="shared" si="0" ref="A37:A43">A28</f>
        <v>SW CBCU - Irrigation - Non Federal Canals</v>
      </c>
      <c r="B37" s="156">
        <f>B15*CanalCUPercent</f>
        <v>0</v>
      </c>
    </row>
    <row r="38" spans="1:2" ht="12.75">
      <c r="A38" s="156" t="str">
        <f t="shared" si="0"/>
        <v>SW CBCU - Irrigation - Small Pumps</v>
      </c>
      <c r="B38" s="156">
        <f>B16*PumperCUPercent</f>
        <v>0</v>
      </c>
    </row>
    <row r="39" spans="1:2" ht="12.75">
      <c r="A39" s="156" t="str">
        <f t="shared" si="0"/>
        <v>SW CBCU - M&amp;I</v>
      </c>
      <c r="B39" s="156">
        <f>B17*MI_CUPercent</f>
        <v>0</v>
      </c>
    </row>
    <row r="40" spans="1:3" ht="12.75">
      <c r="A40" s="156" t="str">
        <f t="shared" si="0"/>
        <v>Non-Federal Reservoir Evaporation</v>
      </c>
      <c r="B40" s="156">
        <f>B22</f>
        <v>0</v>
      </c>
      <c r="C40" s="77"/>
    </row>
    <row r="41" spans="1:3" ht="12.75">
      <c r="A41" s="156" t="str">
        <f t="shared" si="0"/>
        <v>SW CBCU</v>
      </c>
      <c r="B41" s="158">
        <f>B37+B38+B39+B40</f>
        <v>0</v>
      </c>
      <c r="C41" s="77"/>
    </row>
    <row r="42" spans="1:3" ht="12.75">
      <c r="A42" s="156" t="str">
        <f t="shared" si="0"/>
        <v>GW CBCU</v>
      </c>
      <c r="B42" s="156">
        <f>B7</f>
        <v>100</v>
      </c>
      <c r="C42" s="77"/>
    </row>
    <row r="43" spans="1:2" ht="12.75">
      <c r="A43" s="156" t="str">
        <f t="shared" si="0"/>
        <v>Total CBCU</v>
      </c>
      <c r="B43" s="158">
        <f>(ROUND(SUM(B41:B42),-1))</f>
        <v>100</v>
      </c>
    </row>
    <row r="44" spans="1:2" ht="12.75">
      <c r="A44" s="156" t="s">
        <v>84</v>
      </c>
      <c r="B44" s="156"/>
    </row>
    <row r="45" spans="1:2" ht="12.75">
      <c r="A45" s="155" t="s">
        <v>1</v>
      </c>
      <c r="B45" s="156"/>
    </row>
    <row r="46" spans="1:2" ht="12.75">
      <c r="A46" s="156" t="str">
        <f aca="true" t="shared" si="1" ref="A46:A52">A28</f>
        <v>SW CBCU - Irrigation - Non Federal Canals</v>
      </c>
      <c r="B46" s="158">
        <f>B18*CanalCUPercent</f>
        <v>0</v>
      </c>
    </row>
    <row r="47" spans="1:2" ht="12.75">
      <c r="A47" s="156" t="str">
        <f t="shared" si="1"/>
        <v>SW CBCU - Irrigation - Small Pumps</v>
      </c>
      <c r="B47" s="158">
        <f>B19*PumperCUPercent</f>
        <v>0</v>
      </c>
    </row>
    <row r="48" spans="1:2" ht="12.75">
      <c r="A48" s="156" t="str">
        <f t="shared" si="1"/>
        <v>SW CBCU - M&amp;I</v>
      </c>
      <c r="B48" s="158">
        <f>B20*MI_CUPercent</f>
        <v>0</v>
      </c>
    </row>
    <row r="49" spans="1:3" ht="12.75">
      <c r="A49" s="156" t="str">
        <f t="shared" si="1"/>
        <v>Non-Federal Reservoir Evaporation</v>
      </c>
      <c r="B49" s="156">
        <f>B23</f>
        <v>0</v>
      </c>
      <c r="C49" s="77"/>
    </row>
    <row r="50" spans="1:3" ht="12.75">
      <c r="A50" s="156" t="str">
        <f t="shared" si="1"/>
        <v>SW CBCU</v>
      </c>
      <c r="B50" s="158">
        <f>B46+B47+B48+B49</f>
        <v>0</v>
      </c>
      <c r="C50" s="77"/>
    </row>
    <row r="51" spans="1:3" ht="12.75">
      <c r="A51" s="156" t="str">
        <f t="shared" si="1"/>
        <v>GW CBCU</v>
      </c>
      <c r="B51" s="156">
        <f>B8</f>
        <v>508</v>
      </c>
      <c r="C51" s="77"/>
    </row>
    <row r="52" spans="1:2" ht="12.75">
      <c r="A52" s="156" t="str">
        <f t="shared" si="1"/>
        <v>Total CBCU</v>
      </c>
      <c r="B52" s="158">
        <f>(ROUND(SUM(B50:B51),-1))</f>
        <v>510</v>
      </c>
    </row>
    <row r="53" spans="1:2" ht="12.75">
      <c r="A53" s="159" t="s">
        <v>84</v>
      </c>
      <c r="B53" s="156"/>
    </row>
    <row r="54" spans="1:2" ht="12.75">
      <c r="A54" s="160" t="s">
        <v>185</v>
      </c>
      <c r="B54" s="156"/>
    </row>
    <row r="55" spans="1:2" ht="12.75">
      <c r="A55" s="159" t="str">
        <f>'NORTH FORK'!A42</f>
        <v>Total SW CBCU</v>
      </c>
      <c r="B55" s="158">
        <f>+B32+B41+B50</f>
        <v>0</v>
      </c>
    </row>
    <row r="56" spans="1:2" ht="12.75">
      <c r="A56" s="159" t="str">
        <f>'NORTH FORK'!A43</f>
        <v>Total GW CBCU</v>
      </c>
      <c r="B56" s="158">
        <f>+B33+B42+B51</f>
        <v>850</v>
      </c>
    </row>
    <row r="57" spans="1:2" ht="12.75">
      <c r="A57" s="159" t="str">
        <f>'NORTH FORK'!A44</f>
        <v>Total Basin CBCU</v>
      </c>
      <c r="B57" s="158">
        <f>(ROUND(SUM(B55:B56),-1))</f>
        <v>850</v>
      </c>
    </row>
    <row r="58" spans="1:2" ht="12.75">
      <c r="A58" s="159" t="s">
        <v>84</v>
      </c>
      <c r="B58" s="156"/>
    </row>
    <row r="59" spans="1:2" ht="15.75">
      <c r="A59" s="161" t="s">
        <v>10</v>
      </c>
      <c r="B59" s="162"/>
    </row>
    <row r="60" spans="1:2" ht="12.75">
      <c r="A60" s="162" t="str">
        <f>A11</f>
        <v>Arikaree River At Haigler</v>
      </c>
      <c r="B60" s="163">
        <f>B11</f>
        <v>1060</v>
      </c>
    </row>
    <row r="61" spans="1:2" ht="12.75">
      <c r="A61" s="162" t="str">
        <f>'NORTH FORK'!A49</f>
        <v>Colorado CBCU</v>
      </c>
      <c r="B61" s="163">
        <f>+B34</f>
        <v>240</v>
      </c>
    </row>
    <row r="62" spans="1:2" ht="12.75">
      <c r="A62" s="162" t="str">
        <f>'NORTH FORK'!A50</f>
        <v>Kansas CBCU</v>
      </c>
      <c r="B62" s="163">
        <f>+B43</f>
        <v>100</v>
      </c>
    </row>
    <row r="63" spans="1:2" ht="12.75">
      <c r="A63" s="162" t="str">
        <f>'NORTH FORK'!A51</f>
        <v>Nebraska CBCU</v>
      </c>
      <c r="B63" s="163">
        <f>+B52</f>
        <v>510</v>
      </c>
    </row>
    <row r="64" spans="1:3" ht="12.75">
      <c r="A64" s="162" t="str">
        <f>'NORTH FORK'!A52</f>
        <v>Imported Water</v>
      </c>
      <c r="B64" s="162">
        <f>+B5</f>
        <v>0</v>
      </c>
      <c r="C64" s="77"/>
    </row>
    <row r="65" spans="1:2" ht="12.75">
      <c r="A65" s="162" t="str">
        <f>'NORTH FORK'!A53</f>
        <v>Virgin Water Supply</v>
      </c>
      <c r="B65" s="163">
        <f>ROUND(SUM(B60:B63)-B64,-1)</f>
        <v>1910</v>
      </c>
    </row>
    <row r="66" spans="1:2" ht="12.75">
      <c r="A66" s="162" t="str">
        <f>'NORTH FORK'!A54</f>
        <v>Adjustment For Flood Flows</v>
      </c>
      <c r="B66" s="162">
        <f>B24</f>
        <v>0</v>
      </c>
    </row>
    <row r="67" spans="1:2" ht="12.75">
      <c r="A67" s="162" t="str">
        <f>'NORTH FORK'!A55</f>
        <v>Computed Water Supply</v>
      </c>
      <c r="B67" s="163">
        <f>ROUND(+B65-B66,-1)</f>
        <v>1910</v>
      </c>
    </row>
    <row r="68" spans="1:2" ht="12.75">
      <c r="A68" s="164" t="s">
        <v>84</v>
      </c>
      <c r="B68" s="162"/>
    </row>
    <row r="69" spans="1:2" ht="15.75">
      <c r="A69" s="161" t="s">
        <v>12</v>
      </c>
      <c r="B69" s="165"/>
    </row>
    <row r="70" spans="1:2" ht="12.75">
      <c r="A70" s="156" t="str">
        <f>'NORTH FORK'!A58</f>
        <v>Colorado Percent Of Allocation</v>
      </c>
      <c r="B70" s="166">
        <f>'T2'!D4</f>
        <v>0.785</v>
      </c>
    </row>
    <row r="71" spans="1:2" ht="12.75">
      <c r="A71" s="156" t="str">
        <f>'NORTH FORK'!A59</f>
        <v>Colorado Allocation</v>
      </c>
      <c r="B71" s="158">
        <f>ROUND(+B67*B70,-1)</f>
        <v>1500</v>
      </c>
    </row>
    <row r="72" spans="1:2" ht="12.75">
      <c r="A72" s="156" t="str">
        <f>'NORTH FORK'!A60</f>
        <v>Kansas Percent Of Allocation</v>
      </c>
      <c r="B72" s="166">
        <f>'T2'!F4</f>
        <v>0.051</v>
      </c>
    </row>
    <row r="73" spans="1:2" ht="12.75">
      <c r="A73" s="156" t="str">
        <f>'NORTH FORK'!A61</f>
        <v>Kansas Allocation</v>
      </c>
      <c r="B73" s="158">
        <f>ROUND(B67*B72,-1)</f>
        <v>100</v>
      </c>
    </row>
    <row r="74" spans="1:2" ht="12.75">
      <c r="A74" s="156" t="str">
        <f>'NORTH FORK'!A62</f>
        <v>Nebraska Percent Of Allocation</v>
      </c>
      <c r="B74" s="166">
        <f>'T2'!H4</f>
        <v>0.168</v>
      </c>
    </row>
    <row r="75" spans="1:2" ht="12.75">
      <c r="A75" s="156" t="str">
        <f>'NORTH FORK'!A63</f>
        <v>Nebraska Allocation</v>
      </c>
      <c r="B75" s="158">
        <f>ROUND(B67*B74,-1)</f>
        <v>320</v>
      </c>
    </row>
    <row r="76" spans="1:2" ht="12.75">
      <c r="A76" s="156" t="str">
        <f>'NORTH FORK'!A64</f>
        <v>Total Basin Allocation</v>
      </c>
      <c r="B76" s="158">
        <f>+B71+B73+B75</f>
        <v>1920</v>
      </c>
    </row>
    <row r="77" spans="1:2" ht="12.75">
      <c r="A77" s="156" t="str">
        <f>'NORTH FORK'!A65</f>
        <v>Percent Of Supply Not Allocated</v>
      </c>
      <c r="B77" s="166">
        <f>'T2'!J4</f>
        <v>-0.004</v>
      </c>
    </row>
    <row r="78" spans="1:2" ht="12.75">
      <c r="A78" s="156" t="str">
        <f>'NORTH FORK'!A66</f>
        <v>Quantity Of Unallocated Supply</v>
      </c>
      <c r="B78" s="158">
        <f>+B67-B71-B73-B75</f>
        <v>-10</v>
      </c>
    </row>
  </sheetData>
  <sheetProtection/>
  <printOptions headings="1"/>
  <pageMargins left="0.75" right="0.75" top="0.75" bottom="0.5" header="0.25" footer="0.5"/>
  <pageSetup fitToHeight="2" fitToWidth="1" horizontalDpi="600" verticalDpi="600" orientation="portrait" paperSize="3" r:id="rId1"/>
  <headerFooter alignWithMargins="0">
    <oddHeader>&amp;LRRCA
Compact Accounting&amp;C&amp;A SUB-BASIN&amp;RPage &amp;P of &amp;N</oddHeader>
  </headerFooter>
  <rowBreaks count="1" manualBreakCount="1">
    <brk id="52" max="2" man="1"/>
  </rowBreaks>
</worksheet>
</file>

<file path=xl/worksheets/sheet5.xml><?xml version="1.0" encoding="utf-8"?>
<worksheet xmlns="http://schemas.openxmlformats.org/spreadsheetml/2006/main" xmlns:r="http://schemas.openxmlformats.org/officeDocument/2006/relationships">
  <sheetPr codeName="Sheet5">
    <pageSetUpPr fitToPage="1"/>
  </sheetPr>
  <dimension ref="A1:C71"/>
  <sheetViews>
    <sheetView zoomScalePageLayoutView="0" workbookViewId="0" topLeftCell="A1">
      <selection activeCell="A1" sqref="A1"/>
    </sheetView>
  </sheetViews>
  <sheetFormatPr defaultColWidth="9.140625" defaultRowHeight="12.75"/>
  <cols>
    <col min="1" max="1" width="69.8515625" style="0" customWidth="1"/>
    <col min="2" max="2" width="8.140625" style="0" customWidth="1"/>
  </cols>
  <sheetData>
    <row r="1" spans="1:2" ht="15.75">
      <c r="A1" s="62" t="s">
        <v>235</v>
      </c>
      <c r="B1">
        <v>2003</v>
      </c>
    </row>
    <row r="2" ht="12.75"/>
    <row r="3" ht="15.75">
      <c r="A3" s="10" t="s">
        <v>180</v>
      </c>
    </row>
    <row r="4" spans="1:3" ht="12.75">
      <c r="A4" s="8" t="s">
        <v>181</v>
      </c>
      <c r="C4" s="1"/>
    </row>
    <row r="5" spans="1:3" ht="12.75">
      <c r="A5" s="55" t="str">
        <f>INPUT!B48</f>
        <v>Imported Water Nebraska</v>
      </c>
      <c r="B5" s="55">
        <f>+INPUT!C48</f>
        <v>0</v>
      </c>
      <c r="C5" s="1"/>
    </row>
    <row r="6" spans="1:3" ht="12.75">
      <c r="A6" s="55" t="str">
        <f>+INPUT!B10</f>
        <v>GW CBCU Colorado</v>
      </c>
      <c r="B6" s="55">
        <f>+INPUT!C10</f>
        <v>265</v>
      </c>
      <c r="C6" s="1"/>
    </row>
    <row r="7" spans="1:2" ht="12.75">
      <c r="A7" s="55" t="str">
        <f>+INPUT!B11</f>
        <v>GW CBCU Kansas</v>
      </c>
      <c r="B7" s="55">
        <f>+INPUT!C11</f>
        <v>0</v>
      </c>
    </row>
    <row r="8" spans="1:2" ht="12" customHeight="1">
      <c r="A8" s="55" t="str">
        <f>+INPUT!B12</f>
        <v>GW CBCU Nebraska</v>
      </c>
      <c r="B8" s="55">
        <f>+INPUT!C12</f>
        <v>3338</v>
      </c>
    </row>
    <row r="9" spans="1:2" ht="12.75">
      <c r="A9" s="2" t="s">
        <v>84</v>
      </c>
      <c r="B9" s="2"/>
    </row>
    <row r="10" spans="1:2" ht="12.75">
      <c r="A10" s="5" t="s">
        <v>183</v>
      </c>
      <c r="B10" s="2"/>
    </row>
    <row r="11" spans="1:2" ht="12.75">
      <c r="A11" s="55" t="str">
        <f>+INPUT!B185</f>
        <v>Buffalo Creek Near Haigler</v>
      </c>
      <c r="B11" s="61">
        <f>+INPUT!C185</f>
        <v>2090</v>
      </c>
    </row>
    <row r="12" spans="1:2" ht="12.75">
      <c r="A12" s="55" t="str">
        <f>INPUT!B74</f>
        <v>SW Diversions - Irrigation -Non-Federal Canals- Colorado</v>
      </c>
      <c r="B12" s="55">
        <f>INPUT!C74</f>
        <v>0</v>
      </c>
    </row>
    <row r="13" spans="1:2" ht="12.75">
      <c r="A13" s="55" t="str">
        <f>INPUT!B75</f>
        <v>SW Diversions - Irrigation - Small Pumps - Colorado</v>
      </c>
      <c r="B13" s="55">
        <f>INPUT!C75</f>
        <v>0</v>
      </c>
    </row>
    <row r="14" spans="1:2" ht="12.75">
      <c r="A14" s="55" t="str">
        <f>INPUT!B76</f>
        <v>SW Diversions - M&amp;I - Colorado</v>
      </c>
      <c r="B14" s="55">
        <f>INPUT!C76</f>
        <v>0</v>
      </c>
    </row>
    <row r="15" spans="1:2" ht="12.75">
      <c r="A15" s="152" t="str">
        <f>+INPUT!B77</f>
        <v>SW Diversions - Irrigation - Non-Federal Canals - Nebraska</v>
      </c>
      <c r="B15" s="152">
        <f>+INPUT!C77</f>
        <v>587</v>
      </c>
    </row>
    <row r="16" spans="1:2" ht="12.75">
      <c r="A16" s="152" t="str">
        <f>+INPUT!B78</f>
        <v>SW Diversions - Irrigation - Small Pumps - Nebraska</v>
      </c>
      <c r="B16" s="152">
        <f>+INPUT!C78</f>
        <v>70.2</v>
      </c>
    </row>
    <row r="17" spans="1:2" ht="12.75">
      <c r="A17" s="152" t="str">
        <f>+INPUT!B79</f>
        <v>SW Diversions - M&amp;I - Nebraska</v>
      </c>
      <c r="B17" s="152">
        <f>+INPUT!C79</f>
        <v>0</v>
      </c>
    </row>
    <row r="18" spans="1:2" ht="12.75">
      <c r="A18" s="152" t="str">
        <f>+INPUT!B158</f>
        <v>Non-Federal Reservoir Evaporation - Colorado</v>
      </c>
      <c r="B18" s="152">
        <f>+INPUT!C158</f>
        <v>0</v>
      </c>
    </row>
    <row r="19" spans="1:2" ht="12.75">
      <c r="A19" s="152" t="str">
        <f>+INPUT!B159</f>
        <v>Non-Federal Reservoir Evaporation - Nebraska</v>
      </c>
      <c r="B19" s="152">
        <f>+INPUT!C159</f>
        <v>0</v>
      </c>
    </row>
    <row r="20" spans="1:2" ht="12.75">
      <c r="A20" s="152" t="str">
        <f>+INPUT!B202</f>
        <v>Buffalo Flood Flow</v>
      </c>
      <c r="B20" s="152">
        <f>+INPUT!C202</f>
        <v>0</v>
      </c>
    </row>
    <row r="21" spans="1:2" ht="12.75">
      <c r="A21" s="167" t="s">
        <v>84</v>
      </c>
      <c r="B21" s="17"/>
    </row>
    <row r="22" spans="1:2" ht="15.75">
      <c r="A22" s="10" t="s">
        <v>266</v>
      </c>
      <c r="B22" s="17"/>
    </row>
    <row r="23" spans="1:2" ht="12.75">
      <c r="A23" s="8" t="s">
        <v>0</v>
      </c>
      <c r="B23" s="17"/>
    </row>
    <row r="24" spans="1:2" ht="12.75">
      <c r="A24" s="12" t="str">
        <f aca="true" t="shared" si="0" ref="A24:B26">A12</f>
        <v>SW Diversions - Irrigation -Non-Federal Canals- Colorado</v>
      </c>
      <c r="B24" s="206">
        <f t="shared" si="0"/>
        <v>0</v>
      </c>
    </row>
    <row r="25" spans="1:2" ht="12.75">
      <c r="A25" s="12" t="str">
        <f t="shared" si="0"/>
        <v>SW Diversions - Irrigation - Small Pumps - Colorado</v>
      </c>
      <c r="B25" s="206">
        <f t="shared" si="0"/>
        <v>0</v>
      </c>
    </row>
    <row r="26" spans="1:2" ht="12.75">
      <c r="A26" s="12" t="str">
        <f t="shared" si="0"/>
        <v>SW Diversions - M&amp;I - Colorado</v>
      </c>
      <c r="B26" s="206">
        <f t="shared" si="0"/>
        <v>0</v>
      </c>
    </row>
    <row r="27" spans="1:2" ht="12.75">
      <c r="A27" s="12" t="str">
        <f>A18</f>
        <v>Non-Federal Reservoir Evaporation - Colorado</v>
      </c>
      <c r="B27" s="206">
        <f>B18</f>
        <v>0</v>
      </c>
    </row>
    <row r="28" spans="1:2" ht="12.75">
      <c r="A28" s="17" t="s">
        <v>242</v>
      </c>
      <c r="B28" s="168">
        <f>B24+B25+B26+B27</f>
        <v>0</v>
      </c>
    </row>
    <row r="29" spans="1:2" ht="12.75">
      <c r="A29" s="17" t="str">
        <f>'NORTH FORK'!A28</f>
        <v>GW CBCU</v>
      </c>
      <c r="B29" s="17">
        <f>+B6</f>
        <v>265</v>
      </c>
    </row>
    <row r="30" spans="1:2" ht="12.75">
      <c r="A30" s="17" t="str">
        <f>'NORTH FORK'!A29</f>
        <v>Total CBCU</v>
      </c>
      <c r="B30" s="80">
        <f>(ROUND(SUM(B28:B29),-1))</f>
        <v>270</v>
      </c>
    </row>
    <row r="31" ht="12.75">
      <c r="B31" s="17"/>
    </row>
    <row r="32" spans="1:2" ht="12.75">
      <c r="A32" s="8" t="s">
        <v>184</v>
      </c>
      <c r="B32" s="17"/>
    </row>
    <row r="33" spans="1:2" ht="12.75">
      <c r="A33" s="17" t="str">
        <f>'NORTH FORK'!A28</f>
        <v>GW CBCU</v>
      </c>
      <c r="B33" s="17">
        <f>+B7</f>
        <v>0</v>
      </c>
    </row>
    <row r="34" spans="1:2" ht="12.75">
      <c r="A34" s="17" t="str">
        <f>'NORTH FORK'!A29</f>
        <v>Total CBCU</v>
      </c>
      <c r="B34" s="80">
        <f>(ROUND(SUM(B33:B33),-1))</f>
        <v>0</v>
      </c>
    </row>
    <row r="35" spans="1:2" ht="12.75">
      <c r="A35" s="17" t="s">
        <v>84</v>
      </c>
      <c r="B35" s="17"/>
    </row>
    <row r="36" spans="1:2" ht="12.75">
      <c r="A36" s="8" t="s">
        <v>1</v>
      </c>
      <c r="B36" s="17"/>
    </row>
    <row r="37" spans="1:2" ht="12.75">
      <c r="A37" s="12" t="str">
        <f>'NORTH FORK'!A23</f>
        <v>SW CBCU - Irrigation - Non Federal Canals</v>
      </c>
      <c r="B37" s="17">
        <f>B15*CanalCUPercent</f>
        <v>352.2</v>
      </c>
    </row>
    <row r="38" spans="1:2" ht="12.75">
      <c r="A38" s="12" t="str">
        <f>'NORTH FORK'!A24</f>
        <v>SW CBCU - Irrigation - Small Pumps</v>
      </c>
      <c r="B38" s="80">
        <f>B16*PumperCUPercent</f>
        <v>52.650000000000006</v>
      </c>
    </row>
    <row r="39" spans="1:2" ht="12.75">
      <c r="A39" s="12" t="str">
        <f>'NORTH FORK'!A25</f>
        <v>SW CBCU - M&amp;I</v>
      </c>
      <c r="B39" s="17">
        <f>B17*MI_CUPercent</f>
        <v>0</v>
      </c>
    </row>
    <row r="40" spans="1:2" ht="12.75">
      <c r="A40" s="78" t="str">
        <f>'NORTH FORK'!A26</f>
        <v>Non-Federal Reservoir Evaporation</v>
      </c>
      <c r="B40" s="143">
        <f>B19</f>
        <v>0</v>
      </c>
    </row>
    <row r="41" spans="1:3" ht="12.75">
      <c r="A41" s="143" t="str">
        <f>'NORTH FORK'!A27</f>
        <v>SW CBCU</v>
      </c>
      <c r="B41" s="168">
        <f>B37+B38+B39+B40</f>
        <v>404.85</v>
      </c>
      <c r="C41" s="77"/>
    </row>
    <row r="42" spans="1:2" ht="12.75">
      <c r="A42" s="17" t="str">
        <f>'NORTH FORK'!A28</f>
        <v>GW CBCU</v>
      </c>
      <c r="B42" s="17">
        <f>+B8</f>
        <v>3338</v>
      </c>
    </row>
    <row r="43" spans="1:2" ht="12.75">
      <c r="A43" s="17" t="str">
        <f>'NORTH FORK'!A29</f>
        <v>Total CBCU</v>
      </c>
      <c r="B43" s="80">
        <f>(ROUND(SUM(B41:B42),-1))</f>
        <v>3740</v>
      </c>
    </row>
    <row r="44" spans="1:2" ht="12.75">
      <c r="A44" s="143" t="s">
        <v>84</v>
      </c>
      <c r="B44" s="17"/>
    </row>
    <row r="45" spans="1:2" ht="12.75">
      <c r="A45" s="5" t="s">
        <v>185</v>
      </c>
      <c r="B45" s="17"/>
    </row>
    <row r="46" spans="1:2" ht="12.75">
      <c r="A46" s="143" t="str">
        <f>'NORTH FORK'!A42</f>
        <v>Total SW CBCU</v>
      </c>
      <c r="B46" s="80">
        <f>+B41+B28</f>
        <v>404.85</v>
      </c>
    </row>
    <row r="47" spans="1:2" ht="12.75">
      <c r="A47" s="143" t="str">
        <f>'NORTH FORK'!A43</f>
        <v>Total GW CBCU</v>
      </c>
      <c r="B47" s="80">
        <f>+B29+B33+B42</f>
        <v>3603</v>
      </c>
    </row>
    <row r="48" spans="1:2" ht="12.75">
      <c r="A48" s="143" t="str">
        <f>'NORTH FORK'!A44</f>
        <v>Total Basin CBCU</v>
      </c>
      <c r="B48" s="80">
        <f>(ROUND(SUM(B46:B47),-1))</f>
        <v>4010</v>
      </c>
    </row>
    <row r="49" spans="1:2" ht="12.75">
      <c r="A49" s="143" t="s">
        <v>84</v>
      </c>
      <c r="B49" s="17"/>
    </row>
    <row r="50" spans="1:2" ht="15.75">
      <c r="A50" s="11" t="s">
        <v>10</v>
      </c>
      <c r="B50" s="17"/>
    </row>
    <row r="51" spans="1:2" ht="12.75">
      <c r="A51" s="169" t="str">
        <f>A11</f>
        <v>Buffalo Creek Near Haigler</v>
      </c>
      <c r="B51" s="80">
        <f>B11</f>
        <v>2090</v>
      </c>
    </row>
    <row r="52" spans="1:2" ht="12.75">
      <c r="A52" s="17" t="str">
        <f>'NORTH FORK'!A49</f>
        <v>Colorado CBCU</v>
      </c>
      <c r="B52" s="80">
        <f>+B30</f>
        <v>270</v>
      </c>
    </row>
    <row r="53" spans="1:2" ht="12.75">
      <c r="A53" s="2" t="str">
        <f>'NORTH FORK'!A50</f>
        <v>Kansas CBCU</v>
      </c>
      <c r="B53" s="32">
        <f>+B34</f>
        <v>0</v>
      </c>
    </row>
    <row r="54" spans="1:2" ht="12.75">
      <c r="A54" s="2" t="str">
        <f>'NORTH FORK'!A51</f>
        <v>Nebraska CBCU</v>
      </c>
      <c r="B54" s="32">
        <f>+B43</f>
        <v>3740</v>
      </c>
    </row>
    <row r="55" spans="1:3" ht="12.75">
      <c r="A55" s="2" t="str">
        <f>'NORTH FORK'!A52</f>
        <v>Imported Water</v>
      </c>
      <c r="B55" s="17">
        <f>+B5</f>
        <v>0</v>
      </c>
      <c r="C55" s="77"/>
    </row>
    <row r="56" spans="1:2" ht="12.75">
      <c r="A56" s="2" t="str">
        <f>'NORTH FORK'!A53</f>
        <v>Virgin Water Supply</v>
      </c>
      <c r="B56" s="4">
        <f>ROUND(SUM(B51:B54)-B55,-1)</f>
        <v>6100</v>
      </c>
    </row>
    <row r="57" spans="1:2" ht="12.75">
      <c r="A57" s="2" t="str">
        <f>'NORTH FORK'!A54</f>
        <v>Adjustment For Flood Flows</v>
      </c>
      <c r="B57" s="2">
        <f>B20</f>
        <v>0</v>
      </c>
    </row>
    <row r="58" spans="1:2" ht="12.75">
      <c r="A58" s="2" t="str">
        <f>'NORTH FORK'!A55</f>
        <v>Computed Water Supply</v>
      </c>
      <c r="B58" s="4">
        <f>ROUND(+B56-B57,-1)</f>
        <v>6100</v>
      </c>
    </row>
    <row r="59" spans="1:2" ht="12.75">
      <c r="A59" s="9" t="s">
        <v>84</v>
      </c>
      <c r="B59" s="2"/>
    </row>
    <row r="60" spans="1:2" ht="15.75">
      <c r="A60" s="11" t="s">
        <v>12</v>
      </c>
      <c r="B60" s="13"/>
    </row>
    <row r="61" spans="1:2" ht="12.75">
      <c r="A61" s="9" t="str">
        <f>'NORTH FORK'!A58</f>
        <v>Colorado Percent Of Allocation</v>
      </c>
      <c r="B61" s="79">
        <f>'T2'!D5</f>
        <v>0</v>
      </c>
    </row>
    <row r="62" spans="1:2" ht="12.75">
      <c r="A62" s="9" t="str">
        <f>'NORTH FORK'!A59</f>
        <v>Colorado Allocation</v>
      </c>
      <c r="B62" s="32">
        <f>ROUND(+B58*B61,-1)</f>
        <v>0</v>
      </c>
    </row>
    <row r="63" spans="1:2" ht="12.75">
      <c r="A63" s="9" t="str">
        <f>'NORTH FORK'!A60</f>
        <v>Kansas Percent Of Allocation</v>
      </c>
      <c r="B63" s="79">
        <f>'T2'!F5</f>
        <v>0</v>
      </c>
    </row>
    <row r="64" spans="1:2" ht="12.75">
      <c r="A64" s="9" t="str">
        <f>'NORTH FORK'!A61</f>
        <v>Kansas Allocation</v>
      </c>
      <c r="B64" s="32">
        <f>ROUND(B58*B63,-1)</f>
        <v>0</v>
      </c>
    </row>
    <row r="65" spans="1:2" ht="12.75">
      <c r="A65" s="9" t="str">
        <f>'NORTH FORK'!A62</f>
        <v>Nebraska Percent Of Allocation</v>
      </c>
      <c r="B65" s="79">
        <f>'T2'!H5</f>
        <v>0.33</v>
      </c>
    </row>
    <row r="66" spans="1:2" ht="12.75">
      <c r="A66" s="9" t="str">
        <f>'NORTH FORK'!A63</f>
        <v>Nebraska Allocation</v>
      </c>
      <c r="B66" s="32">
        <f>ROUND(B58*B65,-1)</f>
        <v>2010</v>
      </c>
    </row>
    <row r="67" spans="1:2" ht="12.75">
      <c r="A67" s="9" t="str">
        <f>'NORTH FORK'!A64</f>
        <v>Total Basin Allocation</v>
      </c>
      <c r="B67" s="32">
        <f>+B62+B64+B66</f>
        <v>2010</v>
      </c>
    </row>
    <row r="68" spans="1:2" ht="12.75">
      <c r="A68" s="9" t="str">
        <f>'NORTH FORK'!A65</f>
        <v>Percent Of Supply Not Allocated</v>
      </c>
      <c r="B68" s="79">
        <f>'T2'!J5</f>
        <v>0.67</v>
      </c>
    </row>
    <row r="69" spans="1:2" ht="12.75">
      <c r="A69" s="9" t="str">
        <f>'NORTH FORK'!A66</f>
        <v>Quantity Of Unallocated Supply</v>
      </c>
      <c r="B69" s="32">
        <f>+B58-B62-B64-B66</f>
        <v>4090</v>
      </c>
    </row>
    <row r="70" ht="12.75">
      <c r="A70" s="19"/>
    </row>
    <row r="71" ht="12.75">
      <c r="A71" s="19"/>
    </row>
  </sheetData>
  <sheetProtection/>
  <printOptions headings="1"/>
  <pageMargins left="0.75" right="0.75" top="0.75" bottom="0.5" header="0.25" footer="0.5"/>
  <pageSetup fitToHeight="2" fitToWidth="1" horizontalDpi="600" verticalDpi="600" orientation="portrait" paperSize="3" r:id="rId1"/>
  <headerFooter alignWithMargins="0">
    <oddHeader>&amp;LRRCA
Compact Accounting&amp;C&amp;A SUB-BASIN&amp;RPage &amp;P of &amp;N</oddHeader>
  </headerFooter>
</worksheet>
</file>

<file path=xl/worksheets/sheet6.xml><?xml version="1.0" encoding="utf-8"?>
<worksheet xmlns="http://schemas.openxmlformats.org/spreadsheetml/2006/main" xmlns:r="http://schemas.openxmlformats.org/officeDocument/2006/relationships">
  <sheetPr codeName="Sheet6">
    <pageSetUpPr fitToPage="1"/>
  </sheetPr>
  <dimension ref="A1:C60"/>
  <sheetViews>
    <sheetView zoomScalePageLayoutView="0" workbookViewId="0" topLeftCell="A1">
      <selection activeCell="A1" sqref="A1"/>
    </sheetView>
  </sheetViews>
  <sheetFormatPr defaultColWidth="9.140625" defaultRowHeight="12.75"/>
  <cols>
    <col min="1" max="1" width="69.7109375" style="0" customWidth="1"/>
    <col min="2" max="2" width="9.421875" style="0" customWidth="1"/>
  </cols>
  <sheetData>
    <row r="1" spans="1:2" ht="15.75">
      <c r="A1" s="62" t="s">
        <v>234</v>
      </c>
      <c r="B1">
        <v>2003</v>
      </c>
    </row>
    <row r="2" ht="12.75"/>
    <row r="3" ht="15.75">
      <c r="A3" s="10" t="s">
        <v>180</v>
      </c>
    </row>
    <row r="4" spans="1:3" ht="12.75">
      <c r="A4" s="8" t="s">
        <v>181</v>
      </c>
      <c r="C4" s="1"/>
    </row>
    <row r="5" spans="1:3" ht="12.75">
      <c r="A5" s="55" t="str">
        <f>+INPUT!B49</f>
        <v>Imported Water Nebraska</v>
      </c>
      <c r="B5" s="55">
        <f>+INPUT!C49</f>
        <v>0</v>
      </c>
      <c r="C5" s="1"/>
    </row>
    <row r="6" spans="1:3" ht="12.75">
      <c r="A6" s="55" t="str">
        <f>+INPUT!B13</f>
        <v>GW CBCU Colorado</v>
      </c>
      <c r="B6" s="55">
        <f>+INPUT!C13</f>
        <v>59</v>
      </c>
      <c r="C6" s="1"/>
    </row>
    <row r="7" spans="1:2" ht="12.75">
      <c r="A7" s="55" t="str">
        <f>+INPUT!B14</f>
        <v>GW CBCU Kansas</v>
      </c>
      <c r="B7" s="55">
        <f>+INPUT!C14</f>
        <v>0</v>
      </c>
    </row>
    <row r="8" spans="1:2" ht="12" customHeight="1">
      <c r="A8" s="55" t="str">
        <f>+INPUT!B15</f>
        <v>GW CBCU Nebraska</v>
      </c>
      <c r="B8" s="55">
        <f>+INPUT!C15</f>
        <v>3419</v>
      </c>
    </row>
    <row r="9" spans="1:2" ht="12" customHeight="1">
      <c r="A9" s="9" t="s">
        <v>84</v>
      </c>
      <c r="B9" s="9"/>
    </row>
    <row r="10" spans="1:2" ht="12.75">
      <c r="A10" s="5" t="s">
        <v>183</v>
      </c>
      <c r="B10" s="2"/>
    </row>
    <row r="11" spans="1:2" ht="12.75">
      <c r="A11" s="55" t="str">
        <f>+INPUT!B186</f>
        <v>Rock Creek At Parks</v>
      </c>
      <c r="B11" s="55">
        <f>+INPUT!C186</f>
        <v>4710</v>
      </c>
    </row>
    <row r="12" spans="1:2" ht="12.75">
      <c r="A12" s="55" t="str">
        <f>+INPUT!B80</f>
        <v>SW Diversions - Irrigation - Non-Federal Canals - Nebraska</v>
      </c>
      <c r="B12" s="55">
        <f>+INPUT!C80</f>
        <v>0</v>
      </c>
    </row>
    <row r="13" spans="1:2" ht="12.75">
      <c r="A13" s="55" t="str">
        <f>+INPUT!B81</f>
        <v>SW Diversions - Irrigation - Small Pumps - Nebraska</v>
      </c>
      <c r="B13" s="55">
        <f>+INPUT!C81</f>
        <v>0</v>
      </c>
    </row>
    <row r="14" spans="1:2" ht="12.75">
      <c r="A14" s="55" t="str">
        <f>+INPUT!B82</f>
        <v>SW Diversions - M&amp;I - Nebraska</v>
      </c>
      <c r="B14" s="55">
        <f>+INPUT!C82</f>
        <v>0</v>
      </c>
    </row>
    <row r="15" spans="1:2" ht="12.75">
      <c r="A15" s="55" t="str">
        <f>+INPUT!B160</f>
        <v>Non-Federal Reservoir Evaporation - Nebraska</v>
      </c>
      <c r="B15" s="55">
        <f>+INPUT!C160</f>
        <v>0</v>
      </c>
    </row>
    <row r="16" spans="1:2" ht="12.75">
      <c r="A16" s="55" t="str">
        <f>+INPUT!B203</f>
        <v>Rock Flood Flow</v>
      </c>
      <c r="B16" s="55">
        <f>+INPUT!C203</f>
        <v>0</v>
      </c>
    </row>
    <row r="17" spans="1:2" ht="12.75">
      <c r="A17" s="6" t="s">
        <v>84</v>
      </c>
      <c r="B17" s="2"/>
    </row>
    <row r="18" spans="1:2" ht="15.75">
      <c r="A18" s="10" t="s">
        <v>266</v>
      </c>
      <c r="B18" s="2"/>
    </row>
    <row r="19" spans="1:2" ht="12.75">
      <c r="A19" s="8" t="s">
        <v>0</v>
      </c>
      <c r="B19" s="2"/>
    </row>
    <row r="20" spans="1:2" ht="12.75">
      <c r="A20" s="2" t="str">
        <f>'NORTH FORK'!A28</f>
        <v>GW CBCU</v>
      </c>
      <c r="B20" s="2">
        <f>+B6</f>
        <v>59</v>
      </c>
    </row>
    <row r="21" spans="1:2" ht="12.75">
      <c r="A21" s="2" t="str">
        <f>'NORTH FORK'!A29</f>
        <v>Total CBCU</v>
      </c>
      <c r="B21" s="4">
        <f>(ROUND(SUM(B20:B20),-1))</f>
        <v>60</v>
      </c>
    </row>
    <row r="22" spans="1:2" ht="12.75">
      <c r="A22" s="2" t="s">
        <v>84</v>
      </c>
      <c r="B22" s="2"/>
    </row>
    <row r="23" spans="1:2" ht="12.75">
      <c r="A23" s="8" t="s">
        <v>184</v>
      </c>
      <c r="B23" s="2"/>
    </row>
    <row r="24" spans="1:2" ht="12.75">
      <c r="A24" s="2" t="str">
        <f>'NORTH FORK'!A28</f>
        <v>GW CBCU</v>
      </c>
      <c r="B24" s="2">
        <f>+B7</f>
        <v>0</v>
      </c>
    </row>
    <row r="25" spans="1:2" ht="12.75">
      <c r="A25" s="2" t="str">
        <f>'NORTH FORK'!A29</f>
        <v>Total CBCU</v>
      </c>
      <c r="B25" s="4">
        <f>(ROUND(SUM(B24:B24),-1))</f>
        <v>0</v>
      </c>
    </row>
    <row r="26" spans="1:2" ht="12.75">
      <c r="A26" s="2" t="s">
        <v>84</v>
      </c>
      <c r="B26" s="2"/>
    </row>
    <row r="27" spans="1:2" ht="12.75">
      <c r="A27" s="8" t="s">
        <v>1</v>
      </c>
      <c r="B27" s="2"/>
    </row>
    <row r="28" spans="1:2" ht="12.75">
      <c r="A28" s="80" t="str">
        <f>A12</f>
        <v>SW Diversions - Irrigation - Non-Federal Canals - Nebraska</v>
      </c>
      <c r="B28" s="80">
        <f>B12*CanalCUPercent</f>
        <v>0</v>
      </c>
    </row>
    <row r="29" spans="1:2" ht="12.75">
      <c r="A29" s="17" t="str">
        <f>'NORTH FORK'!A24</f>
        <v>SW CBCU - Irrigation - Small Pumps</v>
      </c>
      <c r="B29" s="80">
        <f>B13*PumperCUPercent</f>
        <v>0</v>
      </c>
    </row>
    <row r="30" spans="1:2" ht="12.75">
      <c r="A30" s="17" t="str">
        <f>'NORTH FORK'!A25</f>
        <v>SW CBCU - M&amp;I</v>
      </c>
      <c r="B30" s="17">
        <f>B14*MI_CUPercent</f>
        <v>0</v>
      </c>
    </row>
    <row r="31" spans="1:2" ht="12.75">
      <c r="A31" s="17" t="str">
        <f>'NORTH FORK'!A26</f>
        <v>Non-Federal Reservoir Evaporation</v>
      </c>
      <c r="B31" s="17">
        <f>B15</f>
        <v>0</v>
      </c>
    </row>
    <row r="32" spans="1:3" ht="12.75">
      <c r="A32" s="17" t="str">
        <f>'NORTH FORK'!A27</f>
        <v>SW CBCU</v>
      </c>
      <c r="B32" s="80">
        <f>B28+B29+B30+B31</f>
        <v>0</v>
      </c>
      <c r="C32" s="77"/>
    </row>
    <row r="33" spans="1:2" ht="12.75">
      <c r="A33" s="17" t="str">
        <f>'NORTH FORK'!A28</f>
        <v>GW CBCU</v>
      </c>
      <c r="B33" s="17">
        <f>+B8</f>
        <v>3419</v>
      </c>
    </row>
    <row r="34" spans="1:2" ht="12.75">
      <c r="A34" s="17" t="str">
        <f>'NORTH FORK'!A29</f>
        <v>Total CBCU</v>
      </c>
      <c r="B34" s="80">
        <f>(ROUND(SUM(B32:B33),-1))</f>
        <v>3420</v>
      </c>
    </row>
    <row r="35" spans="1:2" ht="12.75">
      <c r="A35" s="143" t="s">
        <v>84</v>
      </c>
      <c r="B35" s="17"/>
    </row>
    <row r="36" spans="1:2" ht="12.75">
      <c r="A36" s="5" t="s">
        <v>185</v>
      </c>
      <c r="B36" s="17"/>
    </row>
    <row r="37" spans="1:2" ht="12.75">
      <c r="A37" s="143" t="str">
        <f>'NORTH FORK'!A42</f>
        <v>Total SW CBCU</v>
      </c>
      <c r="B37" s="80">
        <f>+B32</f>
        <v>0</v>
      </c>
    </row>
    <row r="38" spans="1:2" ht="12.75">
      <c r="A38" s="143" t="str">
        <f>'NORTH FORK'!A43</f>
        <v>Total GW CBCU</v>
      </c>
      <c r="B38" s="80">
        <f>+B20+B24+B33</f>
        <v>3478</v>
      </c>
    </row>
    <row r="39" spans="1:2" ht="12.75">
      <c r="A39" s="143" t="str">
        <f>'NORTH FORK'!A44</f>
        <v>Total Basin CBCU</v>
      </c>
      <c r="B39" s="80">
        <f>(ROUND(SUM(B37:B38),-1))</f>
        <v>3480</v>
      </c>
    </row>
    <row r="40" spans="1:2" ht="12.75">
      <c r="A40" s="143" t="s">
        <v>84</v>
      </c>
      <c r="B40" s="17"/>
    </row>
    <row r="41" spans="1:2" ht="15.75">
      <c r="A41" s="11" t="s">
        <v>10</v>
      </c>
      <c r="B41" s="17"/>
    </row>
    <row r="42" spans="1:2" ht="12.75">
      <c r="A42" s="17" t="str">
        <f>A11</f>
        <v>Rock Creek At Parks</v>
      </c>
      <c r="B42" s="80">
        <f>B11</f>
        <v>4710</v>
      </c>
    </row>
    <row r="43" spans="1:2" ht="12.75">
      <c r="A43" s="17" t="str">
        <f>'NORTH FORK'!A49</f>
        <v>Colorado CBCU</v>
      </c>
      <c r="B43" s="80">
        <f>+B21</f>
        <v>60</v>
      </c>
    </row>
    <row r="44" spans="1:2" ht="12.75">
      <c r="A44" s="17" t="str">
        <f>'NORTH FORK'!A50</f>
        <v>Kansas CBCU</v>
      </c>
      <c r="B44" s="80">
        <f>+B25</f>
        <v>0</v>
      </c>
    </row>
    <row r="45" spans="1:2" ht="12.75">
      <c r="A45" s="17" t="str">
        <f>'NORTH FORK'!A51</f>
        <v>Nebraska CBCU</v>
      </c>
      <c r="B45" s="80">
        <f>+B34</f>
        <v>3420</v>
      </c>
    </row>
    <row r="46" spans="1:3" ht="12.75">
      <c r="A46" s="17" t="str">
        <f>'NORTH FORK'!A52</f>
        <v>Imported Water</v>
      </c>
      <c r="B46" s="17">
        <f>B5</f>
        <v>0</v>
      </c>
      <c r="C46" s="77"/>
    </row>
    <row r="47" spans="1:2" ht="12.75">
      <c r="A47" s="17" t="str">
        <f>'NORTH FORK'!A53</f>
        <v>Virgin Water Supply</v>
      </c>
      <c r="B47" s="80">
        <f>ROUND(SUM(B42:B45)-B46,-1)</f>
        <v>8190</v>
      </c>
    </row>
    <row r="48" spans="1:2" ht="12.75">
      <c r="A48" s="17" t="str">
        <f>'NORTH FORK'!A54</f>
        <v>Adjustment For Flood Flows</v>
      </c>
      <c r="B48" s="17">
        <f>B16</f>
        <v>0</v>
      </c>
    </row>
    <row r="49" spans="1:2" ht="12.75">
      <c r="A49" s="17" t="str">
        <f>'NORTH FORK'!A55</f>
        <v>Computed Water Supply</v>
      </c>
      <c r="B49" s="80">
        <f>ROUND(+B47-B48,-1)</f>
        <v>8190</v>
      </c>
    </row>
    <row r="50" spans="1:2" ht="12.75">
      <c r="A50" s="9" t="s">
        <v>84</v>
      </c>
      <c r="B50" s="2"/>
    </row>
    <row r="51" spans="1:2" ht="15.75">
      <c r="A51" s="11" t="s">
        <v>12</v>
      </c>
      <c r="B51" s="13"/>
    </row>
    <row r="52" spans="1:2" ht="12.75">
      <c r="A52" s="2" t="str">
        <f>'NORTH FORK'!A58</f>
        <v>Colorado Percent Of Allocation</v>
      </c>
      <c r="B52" s="16">
        <f>'T2'!D6</f>
        <v>0</v>
      </c>
    </row>
    <row r="53" spans="1:2" ht="12.75">
      <c r="A53" s="2" t="str">
        <f>'NORTH FORK'!A59</f>
        <v>Colorado Allocation</v>
      </c>
      <c r="B53" s="4">
        <f>ROUND(+B49*B52,-1)</f>
        <v>0</v>
      </c>
    </row>
    <row r="54" spans="1:2" ht="12.75">
      <c r="A54" s="2" t="str">
        <f>'NORTH FORK'!A60</f>
        <v>Kansas Percent Of Allocation</v>
      </c>
      <c r="B54" s="16">
        <f>'T2'!F6</f>
        <v>0</v>
      </c>
    </row>
    <row r="55" spans="1:2" ht="12.75">
      <c r="A55" s="2" t="str">
        <f>'NORTH FORK'!A61</f>
        <v>Kansas Allocation</v>
      </c>
      <c r="B55" s="4">
        <f>ROUND(B49*B54,-1)</f>
        <v>0</v>
      </c>
    </row>
    <row r="56" spans="1:2" ht="12.75">
      <c r="A56" s="2" t="str">
        <f>'NORTH FORK'!A62</f>
        <v>Nebraska Percent Of Allocation</v>
      </c>
      <c r="B56" s="16">
        <f>'T2'!H6</f>
        <v>0.4</v>
      </c>
    </row>
    <row r="57" spans="1:2" ht="12.75">
      <c r="A57" s="2" t="str">
        <f>'NORTH FORK'!A63</f>
        <v>Nebraska Allocation</v>
      </c>
      <c r="B57" s="4">
        <f>ROUND(B49*B56,-1)</f>
        <v>3280</v>
      </c>
    </row>
    <row r="58" spans="1:2" ht="12.75">
      <c r="A58" s="2" t="str">
        <f>'NORTH FORK'!A64</f>
        <v>Total Basin Allocation</v>
      </c>
      <c r="B58" s="4">
        <f>+B53+B55+B57</f>
        <v>3280</v>
      </c>
    </row>
    <row r="59" spans="1:2" ht="12.75">
      <c r="A59" s="2" t="str">
        <f>'NORTH FORK'!A65</f>
        <v>Percent Of Supply Not Allocated</v>
      </c>
      <c r="B59" s="16">
        <f>'T2'!J6</f>
        <v>0.6</v>
      </c>
    </row>
    <row r="60" spans="1:2" ht="12.75">
      <c r="A60" s="2" t="str">
        <f>'NORTH FORK'!A66</f>
        <v>Quantity Of Unallocated Supply</v>
      </c>
      <c r="B60" s="4">
        <f>+B49-B53-B55-B57</f>
        <v>4910</v>
      </c>
    </row>
  </sheetData>
  <sheetProtection/>
  <printOptions headings="1"/>
  <pageMargins left="0.75" right="0.75" top="0.75" bottom="0.5" header="0.25" footer="0.5"/>
  <pageSetup fitToHeight="1" fitToWidth="1" horizontalDpi="600" verticalDpi="600" orientation="portrait" paperSize="3" scale="87" r:id="rId1"/>
  <headerFooter alignWithMargins="0">
    <oddHeader>&amp;LRRCA
Compact Accounting&amp;C&amp;A SUB-BASIN&amp;RPage &amp;P of &amp;N</oddHeader>
  </headerFooter>
  <rowBreaks count="1" manualBreakCount="1">
    <brk id="49" max="2" man="1"/>
  </rowBreaks>
</worksheet>
</file>

<file path=xl/worksheets/sheet7.xml><?xml version="1.0" encoding="utf-8"?>
<worksheet xmlns="http://schemas.openxmlformats.org/spreadsheetml/2006/main" xmlns:r="http://schemas.openxmlformats.org/officeDocument/2006/relationships">
  <sheetPr codeName="Sheet7">
    <pageSetUpPr fitToPage="1"/>
  </sheetPr>
  <dimension ref="A1:C84"/>
  <sheetViews>
    <sheetView zoomScalePageLayoutView="0" workbookViewId="0" topLeftCell="A1">
      <selection activeCell="A1" sqref="A1"/>
    </sheetView>
  </sheetViews>
  <sheetFormatPr defaultColWidth="9.140625" defaultRowHeight="12.75"/>
  <cols>
    <col min="1" max="1" width="69.421875" style="0" customWidth="1"/>
    <col min="2" max="2" width="8.7109375" style="0" customWidth="1"/>
  </cols>
  <sheetData>
    <row r="1" spans="1:2" ht="15.75">
      <c r="A1" s="62" t="s">
        <v>233</v>
      </c>
      <c r="B1">
        <v>2003</v>
      </c>
    </row>
    <row r="2" ht="12.75"/>
    <row r="3" ht="15.75">
      <c r="A3" s="10" t="s">
        <v>180</v>
      </c>
    </row>
    <row r="4" ht="12.75">
      <c r="A4" s="8" t="s">
        <v>181</v>
      </c>
    </row>
    <row r="5" spans="1:2" ht="12.75">
      <c r="A5" s="55" t="str">
        <f>+INPUT!B50</f>
        <v>Imported Water Nebraska</v>
      </c>
      <c r="B5" s="55">
        <f>+INPUT!C50</f>
        <v>0</v>
      </c>
    </row>
    <row r="6" spans="1:2" ht="12.75">
      <c r="A6" s="55" t="str">
        <f>+INPUT!B16</f>
        <v>GW CBCU Colorado</v>
      </c>
      <c r="B6" s="55">
        <f>+INPUT!C16</f>
        <v>12115</v>
      </c>
    </row>
    <row r="7" spans="1:2" ht="12.75">
      <c r="A7" s="55" t="str">
        <f>+INPUT!B17</f>
        <v>GW CBCU Kansas</v>
      </c>
      <c r="B7" s="55">
        <f>+INPUT!C17</f>
        <v>5351</v>
      </c>
    </row>
    <row r="8" spans="1:2" ht="12" customHeight="1">
      <c r="A8" s="55" t="str">
        <f>+INPUT!B18</f>
        <v>GW CBCU Nebraska</v>
      </c>
      <c r="B8" s="55">
        <f>+INPUT!C18</f>
        <v>1347</v>
      </c>
    </row>
    <row r="9" spans="1:2" ht="12" customHeight="1">
      <c r="A9" s="9" t="s">
        <v>84</v>
      </c>
      <c r="B9" s="9"/>
    </row>
    <row r="10" spans="1:2" ht="12.75">
      <c r="A10" s="5" t="s">
        <v>183</v>
      </c>
      <c r="B10" s="2"/>
    </row>
    <row r="11" spans="1:2" ht="12.75">
      <c r="A11" s="55" t="str">
        <f>+INPUT!B187</f>
        <v>South Fork Republican River Near Benkelman</v>
      </c>
      <c r="B11" s="61">
        <f>+INPUT!C187</f>
        <v>905.35872</v>
      </c>
    </row>
    <row r="12" spans="1:2" ht="12.75">
      <c r="A12" s="55" t="str">
        <f>+INPUT!B215</f>
        <v>Bonny Reservoir Evaporation</v>
      </c>
      <c r="B12" s="55">
        <f>+INPUT!C215</f>
        <v>3375</v>
      </c>
    </row>
    <row r="13" spans="1:2" ht="12.75">
      <c r="A13" s="55" t="str">
        <f>+INPUT!B216</f>
        <v>Bonny Reservoir Change In Storage</v>
      </c>
      <c r="B13" s="55">
        <f>+INPUT!C216</f>
        <v>-2226</v>
      </c>
    </row>
    <row r="14" spans="1:2" ht="12.75">
      <c r="A14" s="55" t="str">
        <f>+INPUT!B235</f>
        <v>Hale Ditch Diversions</v>
      </c>
      <c r="B14" s="55">
        <f>+INPUT!C235</f>
        <v>0</v>
      </c>
    </row>
    <row r="15" spans="1:2" ht="12.75">
      <c r="A15" s="55" t="str">
        <f>+INPUT!B83</f>
        <v>SW Diversions - Irrigation -Non-Federal Canals- Colorado</v>
      </c>
      <c r="B15" s="55">
        <f>+INPUT!C83</f>
        <v>996</v>
      </c>
    </row>
    <row r="16" spans="1:2" ht="12.75">
      <c r="A16" s="152" t="str">
        <f>+INPUT!B84</f>
        <v>SW Diversions - Irrigation - Small Pumps - Colorado</v>
      </c>
      <c r="B16" s="152">
        <f>+INPUT!C84</f>
        <v>0</v>
      </c>
    </row>
    <row r="17" spans="1:2" ht="12.75">
      <c r="A17" s="152" t="str">
        <f>+INPUT!B85</f>
        <v>SW Diversions - M&amp;I - Colorado</v>
      </c>
      <c r="B17" s="152">
        <f>+INPUT!C85</f>
        <v>0</v>
      </c>
    </row>
    <row r="18" spans="1:2" ht="12.75">
      <c r="A18" s="152" t="str">
        <f>+INPUT!B86</f>
        <v>SW Diversions - Irrigation - Non-Federal Canals- Kansas</v>
      </c>
      <c r="B18" s="152">
        <f>+INPUT!C86</f>
        <v>0</v>
      </c>
    </row>
    <row r="19" spans="1:2" ht="12.75">
      <c r="A19" s="152" t="str">
        <f>+INPUT!B87</f>
        <v>SW Diversions - Irrigation - Small Pumps - Kansas</v>
      </c>
      <c r="B19" s="152">
        <f>+INPUT!C87</f>
        <v>39</v>
      </c>
    </row>
    <row r="20" spans="1:2" ht="12.75">
      <c r="A20" s="152" t="str">
        <f>+INPUT!B88</f>
        <v>SW Diversions - M&amp;I - Kansas</v>
      </c>
      <c r="B20" s="152">
        <f>+INPUT!C88</f>
        <v>0</v>
      </c>
    </row>
    <row r="21" spans="1:2" ht="12.75">
      <c r="A21" s="152" t="str">
        <f>+INPUT!B89</f>
        <v>SW Diversions - Irrigation - Non-Federal Canals - Nebraska</v>
      </c>
      <c r="B21" s="152">
        <f>+INPUT!C89</f>
        <v>0</v>
      </c>
    </row>
    <row r="22" spans="1:2" ht="12.75">
      <c r="A22" s="152" t="str">
        <f>+INPUT!B90</f>
        <v>SW Diversions - Irrigation - Small Pumps - Nebraska</v>
      </c>
      <c r="B22" s="152">
        <f>+INPUT!C90</f>
        <v>0</v>
      </c>
    </row>
    <row r="23" spans="1:2" ht="12.75">
      <c r="A23" s="152" t="str">
        <f>INPUT!B91</f>
        <v>SW Diversions - M&amp;I - Nebraska</v>
      </c>
      <c r="B23" s="152">
        <f>INPUT!C91</f>
        <v>0</v>
      </c>
    </row>
    <row r="24" spans="1:2" ht="12.75">
      <c r="A24" s="152" t="str">
        <f>+INPUT!B161</f>
        <v>Non-Federal Reservoir Evaporation - Colorado</v>
      </c>
      <c r="B24" s="152">
        <f>+INPUT!C161</f>
        <v>0</v>
      </c>
    </row>
    <row r="25" spans="1:2" ht="12.75">
      <c r="A25" s="152" t="str">
        <f>+INPUT!B162</f>
        <v>Non-Federal Reservoir Evaporation - Kansas</v>
      </c>
      <c r="B25" s="152">
        <f>+INPUT!C162</f>
        <v>0</v>
      </c>
    </row>
    <row r="26" spans="1:2" ht="12.75">
      <c r="A26" s="152" t="str">
        <f>+INPUT!B163</f>
        <v>Non-Federal Reservoir Evaporation - Nebraska</v>
      </c>
      <c r="B26" s="152">
        <f>+INPUT!C163</f>
        <v>0</v>
      </c>
    </row>
    <row r="27" spans="1:2" ht="12.75">
      <c r="A27" s="152" t="str">
        <f>+INPUT!B204</f>
        <v>Southfork Flood Flow</v>
      </c>
      <c r="B27" s="152">
        <f>+INPUT!C204</f>
        <v>0</v>
      </c>
    </row>
    <row r="28" spans="1:2" ht="12.75">
      <c r="A28" s="167" t="s">
        <v>84</v>
      </c>
      <c r="B28" s="17"/>
    </row>
    <row r="29" spans="1:2" ht="15.75">
      <c r="A29" s="10" t="s">
        <v>266</v>
      </c>
      <c r="B29" s="17"/>
    </row>
    <row r="30" spans="1:2" ht="12.75">
      <c r="A30" s="8" t="s">
        <v>0</v>
      </c>
      <c r="B30" s="17"/>
    </row>
    <row r="31" spans="1:2" ht="12.75">
      <c r="A31" s="12" t="s">
        <v>258</v>
      </c>
      <c r="B31" s="17">
        <f>+B14*CanalCUPercent</f>
        <v>0</v>
      </c>
    </row>
    <row r="32" spans="1:2" ht="12.75">
      <c r="A32" s="17" t="str">
        <f>'NORTH FORK'!A23</f>
        <v>SW CBCU - Irrigation - Non Federal Canals</v>
      </c>
      <c r="B32" s="170">
        <f>B15*CanalCUPercent</f>
        <v>597.6</v>
      </c>
    </row>
    <row r="33" spans="1:2" ht="12.75">
      <c r="A33" s="17" t="str">
        <f>'NORTH FORK'!A24</f>
        <v>SW CBCU - Irrigation - Small Pumps</v>
      </c>
      <c r="B33" s="170">
        <f>B16*PumperCUPercent</f>
        <v>0</v>
      </c>
    </row>
    <row r="34" spans="1:2" ht="12.75">
      <c r="A34" s="17" t="str">
        <f>'NORTH FORK'!A25</f>
        <v>SW CBCU - M&amp;I</v>
      </c>
      <c r="B34" s="17">
        <f>+B17*MI_CUPercent</f>
        <v>0</v>
      </c>
    </row>
    <row r="35" spans="1:2" ht="12.75">
      <c r="A35" s="17" t="str">
        <f>'NORTH FORK'!A26</f>
        <v>Non-Federal Reservoir Evaporation</v>
      </c>
      <c r="B35" s="17">
        <f>+B24</f>
        <v>0</v>
      </c>
    </row>
    <row r="36" spans="1:2" ht="12.75">
      <c r="A36" s="143" t="str">
        <f>A12</f>
        <v>Bonny Reservoir Evaporation</v>
      </c>
      <c r="B36" s="17">
        <f>+B12</f>
        <v>3375</v>
      </c>
    </row>
    <row r="37" spans="1:3" ht="12.75">
      <c r="A37" s="17" t="str">
        <f>'NORTH FORK'!A27</f>
        <v>SW CBCU</v>
      </c>
      <c r="B37" s="80">
        <f>B31+B32+B33+B34+B35+B36</f>
        <v>3972.6</v>
      </c>
      <c r="C37" s="77"/>
    </row>
    <row r="38" spans="1:2" ht="12.75">
      <c r="A38" s="17" t="str">
        <f>'NORTH FORK'!A28</f>
        <v>GW CBCU</v>
      </c>
      <c r="B38" s="17">
        <f>+B6</f>
        <v>12115</v>
      </c>
    </row>
    <row r="39" spans="1:2" ht="12.75">
      <c r="A39" s="17" t="str">
        <f>'NORTH FORK'!A29</f>
        <v>Total CBCU</v>
      </c>
      <c r="B39" s="80">
        <f>(ROUND(SUM(B37:B38),-1))</f>
        <v>16090</v>
      </c>
    </row>
    <row r="40" spans="1:2" ht="12.75">
      <c r="A40" s="17" t="s">
        <v>84</v>
      </c>
      <c r="B40" s="17"/>
    </row>
    <row r="41" spans="1:2" ht="12.75">
      <c r="A41" s="8" t="s">
        <v>184</v>
      </c>
      <c r="B41" s="17"/>
    </row>
    <row r="42" spans="1:2" ht="12.75">
      <c r="A42" s="17" t="str">
        <f>'NORTH FORK'!A23</f>
        <v>SW CBCU - Irrigation - Non Federal Canals</v>
      </c>
      <c r="B42" s="17">
        <f>+B18*CanalCUPercent</f>
        <v>0</v>
      </c>
    </row>
    <row r="43" spans="1:2" ht="12.75">
      <c r="A43" s="17" t="str">
        <f>'NORTH FORK'!A24</f>
        <v>SW CBCU - Irrigation - Small Pumps</v>
      </c>
      <c r="B43" s="17">
        <f>+B19*PumperCUPercent</f>
        <v>29.25</v>
      </c>
    </row>
    <row r="44" spans="1:2" ht="12.75">
      <c r="A44" s="17" t="str">
        <f>'NORTH FORK'!A25</f>
        <v>SW CBCU - M&amp;I</v>
      </c>
      <c r="B44" s="17">
        <f>+B20*MI_CUPercent</f>
        <v>0</v>
      </c>
    </row>
    <row r="45" spans="1:2" ht="12.75">
      <c r="A45" s="17" t="str">
        <f>'NORTH FORK'!A26</f>
        <v>Non-Federal Reservoir Evaporation</v>
      </c>
      <c r="B45" s="17">
        <f>B25</f>
        <v>0</v>
      </c>
    </row>
    <row r="46" spans="1:3" ht="12.75">
      <c r="A46" s="17" t="str">
        <f>'NORTH FORK'!A27</f>
        <v>SW CBCU</v>
      </c>
      <c r="B46" s="80">
        <f>B42+B43+B44+B45</f>
        <v>29.25</v>
      </c>
      <c r="C46" s="77"/>
    </row>
    <row r="47" spans="1:2" ht="12.75">
      <c r="A47" s="2" t="str">
        <f>'NORTH FORK'!A28</f>
        <v>GW CBCU</v>
      </c>
      <c r="B47" s="2">
        <f>+B7</f>
        <v>5351</v>
      </c>
    </row>
    <row r="48" spans="1:2" ht="12.75">
      <c r="A48" s="2" t="str">
        <f>'NORTH FORK'!A29</f>
        <v>Total CBCU</v>
      </c>
      <c r="B48" s="4">
        <f>(ROUND(SUM(B46:B47),-1))</f>
        <v>5380</v>
      </c>
    </row>
    <row r="49" spans="1:2" ht="12.75">
      <c r="A49" s="2" t="s">
        <v>84</v>
      </c>
      <c r="B49" s="2"/>
    </row>
    <row r="50" spans="1:2" ht="12.75">
      <c r="A50" s="8" t="s">
        <v>1</v>
      </c>
      <c r="B50" s="2"/>
    </row>
    <row r="51" spans="1:2" ht="12.75">
      <c r="A51" s="17" t="str">
        <f>'NORTH FORK'!A23</f>
        <v>SW CBCU - Irrigation - Non Federal Canals</v>
      </c>
      <c r="B51" s="4">
        <f>B21*CanalCUPercent</f>
        <v>0</v>
      </c>
    </row>
    <row r="52" spans="1:2" ht="12.75">
      <c r="A52" s="2" t="str">
        <f>'NORTH FORK'!A24</f>
        <v>SW CBCU - Irrigation - Small Pumps</v>
      </c>
      <c r="B52" s="4">
        <f>B22*PumperCUPercent</f>
        <v>0</v>
      </c>
    </row>
    <row r="53" spans="1:2" ht="12.75">
      <c r="A53" s="2" t="str">
        <f>'NORTH FORK'!A25</f>
        <v>SW CBCU - M&amp;I</v>
      </c>
      <c r="B53" s="2">
        <f>B23*MI_CUPercent</f>
        <v>0</v>
      </c>
    </row>
    <row r="54" spans="1:2" ht="12.75">
      <c r="A54" s="2" t="str">
        <f>'NORTH FORK'!A26</f>
        <v>Non-Federal Reservoir Evaporation</v>
      </c>
      <c r="B54" s="2">
        <f>B26</f>
        <v>0</v>
      </c>
    </row>
    <row r="55" spans="1:3" ht="12.75">
      <c r="A55" s="2" t="str">
        <f>'NORTH FORK'!A27</f>
        <v>SW CBCU</v>
      </c>
      <c r="B55" s="81">
        <f>B51+B52+B53+B54</f>
        <v>0</v>
      </c>
      <c r="C55" s="77"/>
    </row>
    <row r="56" spans="1:2" ht="12.75">
      <c r="A56" s="2" t="str">
        <f>'NORTH FORK'!A28</f>
        <v>GW CBCU</v>
      </c>
      <c r="B56" s="2">
        <f>+B8</f>
        <v>1347</v>
      </c>
    </row>
    <row r="57" spans="1:2" ht="12.75">
      <c r="A57" s="2" t="str">
        <f>'NORTH FORK'!A29</f>
        <v>Total CBCU</v>
      </c>
      <c r="B57" s="4">
        <f>(ROUND(SUM(B55:B56),-1))</f>
        <v>1350</v>
      </c>
    </row>
    <row r="58" spans="1:2" ht="12.75">
      <c r="A58" s="9" t="s">
        <v>84</v>
      </c>
      <c r="B58" s="2"/>
    </row>
    <row r="59" spans="1:2" ht="12.75">
      <c r="A59" s="5" t="s">
        <v>185</v>
      </c>
      <c r="B59" s="2"/>
    </row>
    <row r="60" spans="1:2" ht="12.75">
      <c r="A60" s="9" t="str">
        <f>'NORTH FORK'!A42</f>
        <v>Total SW CBCU</v>
      </c>
      <c r="B60" s="4">
        <f>+B37+B46+B55</f>
        <v>4001.85</v>
      </c>
    </row>
    <row r="61" spans="1:2" ht="12.75">
      <c r="A61" s="9" t="str">
        <f>'NORTH FORK'!A43</f>
        <v>Total GW CBCU</v>
      </c>
      <c r="B61" s="4">
        <f>+B38+B47+B56</f>
        <v>18813</v>
      </c>
    </row>
    <row r="62" spans="1:2" ht="12.75">
      <c r="A62" s="9" t="str">
        <f>'NORTH FORK'!A44</f>
        <v>Total Basin CBCU</v>
      </c>
      <c r="B62" s="4">
        <f>(ROUND(SUM(B60:B61),-1))</f>
        <v>22810</v>
      </c>
    </row>
    <row r="63" spans="1:2" ht="12.75">
      <c r="A63" s="9" t="s">
        <v>84</v>
      </c>
      <c r="B63" s="2"/>
    </row>
    <row r="64" spans="1:2" ht="15.75">
      <c r="A64" s="11" t="s">
        <v>10</v>
      </c>
      <c r="B64" s="2"/>
    </row>
    <row r="65" spans="1:2" ht="12.75">
      <c r="A65" s="2" t="str">
        <f>A11</f>
        <v>South Fork Republican River Near Benkelman</v>
      </c>
      <c r="B65" s="4">
        <f>B11</f>
        <v>905.35872</v>
      </c>
    </row>
    <row r="66" spans="1:2" ht="12.75">
      <c r="A66" s="2" t="str">
        <f>'NORTH FORK'!A49</f>
        <v>Colorado CBCU</v>
      </c>
      <c r="B66" s="4">
        <f>+B39</f>
        <v>16090</v>
      </c>
    </row>
    <row r="67" spans="1:2" ht="12.75">
      <c r="A67" s="2" t="str">
        <f>'NORTH FORK'!A50</f>
        <v>Kansas CBCU</v>
      </c>
      <c r="B67" s="4">
        <f>+B48</f>
        <v>5380</v>
      </c>
    </row>
    <row r="68" spans="1:2" ht="12.75">
      <c r="A68" s="2" t="str">
        <f>'NORTH FORK'!A51</f>
        <v>Nebraska CBCU</v>
      </c>
      <c r="B68" s="4">
        <f>+B57</f>
        <v>1350</v>
      </c>
    </row>
    <row r="69" spans="1:2" ht="12.75">
      <c r="A69" s="2" t="str">
        <f>A13</f>
        <v>Bonny Reservoir Change In Storage</v>
      </c>
      <c r="B69" s="2">
        <f>+B13</f>
        <v>-2226</v>
      </c>
    </row>
    <row r="70" spans="1:3" ht="12.75">
      <c r="A70" s="2" t="str">
        <f>'NORTH FORK'!A52</f>
        <v>Imported Water</v>
      </c>
      <c r="B70" s="17">
        <f>+B5</f>
        <v>0</v>
      </c>
      <c r="C70" s="77"/>
    </row>
    <row r="71" spans="1:2" ht="12.75">
      <c r="A71" s="2" t="str">
        <f>'NORTH FORK'!A53</f>
        <v>Virgin Water Supply</v>
      </c>
      <c r="B71" s="4">
        <f>ROUND(SUM(B65:B69)-B70,-1)</f>
        <v>21500</v>
      </c>
    </row>
    <row r="72" spans="1:2" ht="12.75">
      <c r="A72" s="2" t="str">
        <f>'NORTH FORK'!A54</f>
        <v>Adjustment For Flood Flows</v>
      </c>
      <c r="B72" s="2">
        <f>B27</f>
        <v>0</v>
      </c>
    </row>
    <row r="73" spans="1:2" ht="12.75">
      <c r="A73" s="2" t="str">
        <f>'NORTH FORK'!A55</f>
        <v>Computed Water Supply</v>
      </c>
      <c r="B73" s="4">
        <f>ROUND(+B71-B72-B69,-1)</f>
        <v>23730</v>
      </c>
    </row>
    <row r="74" spans="1:2" ht="12.75">
      <c r="A74" s="9" t="s">
        <v>84</v>
      </c>
      <c r="B74" s="2"/>
    </row>
    <row r="75" spans="1:2" ht="15.75">
      <c r="A75" s="11" t="s">
        <v>12</v>
      </c>
      <c r="B75" s="13"/>
    </row>
    <row r="76" spans="1:2" ht="12.75">
      <c r="A76" s="2" t="str">
        <f>'NORTH FORK'!A58</f>
        <v>Colorado Percent Of Allocation</v>
      </c>
      <c r="B76" s="16">
        <f>'T2'!D7</f>
        <v>0.444</v>
      </c>
    </row>
    <row r="77" spans="1:2" ht="12.75">
      <c r="A77" s="2" t="str">
        <f>'NORTH FORK'!A59</f>
        <v>Colorado Allocation</v>
      </c>
      <c r="B77" s="4">
        <f>ROUND(+B73*B76,-1)</f>
        <v>10540</v>
      </c>
    </row>
    <row r="78" spans="1:2" ht="12.75">
      <c r="A78" s="2" t="str">
        <f>'NORTH FORK'!A60</f>
        <v>Kansas Percent Of Allocation</v>
      </c>
      <c r="B78" s="16">
        <f>'T2'!F7</f>
        <v>0.402</v>
      </c>
    </row>
    <row r="79" spans="1:2" ht="12.75">
      <c r="A79" s="2" t="str">
        <f>'NORTH FORK'!A61</f>
        <v>Kansas Allocation</v>
      </c>
      <c r="B79" s="4">
        <f>ROUND(B73*B78,-1)</f>
        <v>9540</v>
      </c>
    </row>
    <row r="80" spans="1:2" ht="12.75">
      <c r="A80" s="2" t="str">
        <f>'NORTH FORK'!A62</f>
        <v>Nebraska Percent Of Allocation</v>
      </c>
      <c r="B80" s="16">
        <f>'T2'!H7</f>
        <v>0.014</v>
      </c>
    </row>
    <row r="81" spans="1:2" ht="12.75">
      <c r="A81" s="2" t="str">
        <f>'NORTH FORK'!A63</f>
        <v>Nebraska Allocation</v>
      </c>
      <c r="B81" s="4">
        <f>ROUND(B73*B80,-1)</f>
        <v>330</v>
      </c>
    </row>
    <row r="82" spans="1:2" ht="12.75">
      <c r="A82" s="2" t="str">
        <f>'NORTH FORK'!A64</f>
        <v>Total Basin Allocation</v>
      </c>
      <c r="B82" s="4">
        <f>+B77+B79+B81</f>
        <v>20410</v>
      </c>
    </row>
    <row r="83" spans="1:2" ht="12.75">
      <c r="A83" s="2" t="str">
        <f>'NORTH FORK'!A65</f>
        <v>Percent Of Supply Not Allocated</v>
      </c>
      <c r="B83" s="16">
        <f>'T2'!J7</f>
        <v>0.14</v>
      </c>
    </row>
    <row r="84" spans="1:2" ht="12.75">
      <c r="A84" s="2" t="str">
        <f>'NORTH FORK'!A66</f>
        <v>Quantity Of Unallocated Supply</v>
      </c>
      <c r="B84" s="4">
        <f>+B73-B77-B79-B81</f>
        <v>3320</v>
      </c>
    </row>
  </sheetData>
  <sheetProtection/>
  <printOptions headings="1"/>
  <pageMargins left="0.75" right="0.75" top="0.75" bottom="0.5" header="0.25" footer="0.5"/>
  <pageSetup fitToHeight="2" fitToWidth="1" horizontalDpi="600" verticalDpi="600" orientation="portrait" paperSize="3" r:id="rId1"/>
  <headerFooter alignWithMargins="0">
    <oddHeader>&amp;LRRCA
Compact Accounting&amp;C&amp;A SUB-BASIN&amp;RPage &amp;P of &amp;N</oddHeader>
  </headerFooter>
  <rowBreaks count="1" manualBreakCount="1">
    <brk id="51" max="2"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C78"/>
  <sheetViews>
    <sheetView zoomScalePageLayoutView="0" workbookViewId="0" topLeftCell="A1">
      <selection activeCell="A1" sqref="A1"/>
    </sheetView>
  </sheetViews>
  <sheetFormatPr defaultColWidth="9.140625" defaultRowHeight="12.75"/>
  <cols>
    <col min="1" max="1" width="69.28125" style="0" customWidth="1"/>
    <col min="2" max="2" width="7.421875" style="0" customWidth="1"/>
  </cols>
  <sheetData>
    <row r="1" spans="1:2" ht="15.75">
      <c r="A1" s="62" t="s">
        <v>232</v>
      </c>
      <c r="B1">
        <v>2003</v>
      </c>
    </row>
    <row r="2" ht="12.75"/>
    <row r="3" ht="15.75">
      <c r="A3" s="10" t="s">
        <v>180</v>
      </c>
    </row>
    <row r="4" ht="12.75">
      <c r="A4" s="8" t="s">
        <v>181</v>
      </c>
    </row>
    <row r="5" spans="1:2" ht="12.75">
      <c r="A5" s="55" t="str">
        <f>+INPUT!B51</f>
        <v>Imported Water Nebraska</v>
      </c>
      <c r="B5" s="55">
        <f>+INPUT!C51</f>
        <v>0</v>
      </c>
    </row>
    <row r="6" spans="1:2" ht="12.75">
      <c r="A6" s="55" t="str">
        <f>INPUT!B19</f>
        <v>GW CBCU Colorado</v>
      </c>
      <c r="B6" s="55">
        <f>+INPUT!C19</f>
        <v>37</v>
      </c>
    </row>
    <row r="7" spans="1:2" ht="12.75">
      <c r="A7" s="55" t="str">
        <f>+INPUT!B20</f>
        <v>GW CBCU Kansas</v>
      </c>
      <c r="B7" s="55">
        <f>+INPUT!C20</f>
        <v>0</v>
      </c>
    </row>
    <row r="8" spans="1:2" ht="12" customHeight="1">
      <c r="A8" s="55" t="str">
        <f>+INPUT!B21</f>
        <v>GW CBCU Nebraska</v>
      </c>
      <c r="B8" s="55">
        <f>+INPUT!C21</f>
        <v>85647</v>
      </c>
    </row>
    <row r="9" spans="1:2" ht="12" customHeight="1">
      <c r="A9" s="9" t="s">
        <v>84</v>
      </c>
      <c r="B9" s="9"/>
    </row>
    <row r="10" spans="1:2" ht="12.75">
      <c r="A10" s="5" t="s">
        <v>216</v>
      </c>
      <c r="B10" s="2"/>
    </row>
    <row r="11" spans="1:2" ht="12.75">
      <c r="A11" s="60" t="str">
        <f>+INPUT!B240</f>
        <v>Culbertson Canal % Return Flow</v>
      </c>
      <c r="B11" s="60">
        <f>+INPUT!C240</f>
        <v>0.56</v>
      </c>
    </row>
    <row r="12" spans="1:2" ht="12.75">
      <c r="A12" s="60" t="str">
        <f>+INPUT!B241</f>
        <v>Culbertson Canal Extension % Return Flow</v>
      </c>
      <c r="B12" s="60">
        <f>+INPUT!C241</f>
        <v>1</v>
      </c>
    </row>
    <row r="13" spans="1:2" ht="12.75">
      <c r="A13" s="2" t="s">
        <v>84</v>
      </c>
      <c r="B13" s="2"/>
    </row>
    <row r="14" spans="1:2" ht="12.75">
      <c r="A14" s="5" t="s">
        <v>183</v>
      </c>
      <c r="B14" s="2"/>
    </row>
    <row r="15" spans="1:2" ht="12.75">
      <c r="A15" s="55" t="str">
        <f>+INPUT!B188</f>
        <v>Frenchman Creek At Culbertson</v>
      </c>
      <c r="B15" s="55">
        <f>+INPUT!C188</f>
        <v>13360</v>
      </c>
    </row>
    <row r="16" spans="1:2" ht="12.75">
      <c r="A16" s="55" t="str">
        <f>+INPUT!B217</f>
        <v>Enders Reservoir Evaporation</v>
      </c>
      <c r="B16" s="55">
        <f>+INPUT!C217</f>
        <v>1485</v>
      </c>
    </row>
    <row r="17" spans="1:2" ht="12.75">
      <c r="A17" s="55" t="str">
        <f>+INPUT!B218</f>
        <v>Enders Reservoir Change In Storage</v>
      </c>
      <c r="B17" s="55">
        <f>+INPUT!C218</f>
        <v>-218</v>
      </c>
    </row>
    <row r="18" spans="1:2" ht="12.75">
      <c r="A18" s="55" t="str">
        <f>+INPUT!B236</f>
        <v>Champion Canal Diversions</v>
      </c>
      <c r="B18" s="55">
        <f>+INPUT!C236</f>
        <v>0</v>
      </c>
    </row>
    <row r="19" spans="1:2" ht="12.75">
      <c r="A19" s="55" t="str">
        <f>+INPUT!B237</f>
        <v>Riverside Canal Diversions</v>
      </c>
      <c r="B19" s="55">
        <f>+INPUT!C237</f>
        <v>1838</v>
      </c>
    </row>
    <row r="20" spans="1:2" ht="12.75">
      <c r="A20" s="55" t="str">
        <f>+INPUT!B238</f>
        <v>Culbertson Canal Diversions</v>
      </c>
      <c r="B20" s="55">
        <f>+INPUT!C238</f>
        <v>8002</v>
      </c>
    </row>
    <row r="21" spans="1:2" ht="12.75">
      <c r="A21" s="55" t="str">
        <f>+INPUT!B239</f>
        <v>Culbertson Canal Extension Diversions</v>
      </c>
      <c r="B21" s="55">
        <f>+INPUT!C239</f>
        <v>0</v>
      </c>
    </row>
    <row r="22" spans="1:2" ht="12.75">
      <c r="A22" s="152" t="str">
        <f>+INPUT!B92</f>
        <v>SW Diversions - Irrigation - Non-Federal Canals - Nebraska</v>
      </c>
      <c r="B22" s="152">
        <f>+INPUT!C92</f>
        <v>0</v>
      </c>
    </row>
    <row r="23" spans="1:2" ht="12.75">
      <c r="A23" s="152" t="str">
        <f>+INPUT!B93</f>
        <v>SW Diversions - Irrigation - Small Pumps - Nebraska</v>
      </c>
      <c r="B23" s="152">
        <f>+INPUT!C93</f>
        <v>3.09</v>
      </c>
    </row>
    <row r="24" spans="1:2" ht="12.75">
      <c r="A24" s="152" t="str">
        <f>+INPUT!B94</f>
        <v>SW Diversions - M&amp;I - Nebraska</v>
      </c>
      <c r="B24" s="152">
        <f>+INPUT!C94</f>
        <v>0</v>
      </c>
    </row>
    <row r="25" spans="1:2" ht="12.75">
      <c r="A25" s="152" t="str">
        <f>+INPUT!B164</f>
        <v>Non-Federal Reservoir Evaporation - Nebraska</v>
      </c>
      <c r="B25" s="152">
        <f>+INPUT!C164</f>
        <v>0</v>
      </c>
    </row>
    <row r="26" spans="1:2" ht="12.75">
      <c r="A26" s="152" t="str">
        <f>+INPUT!B205</f>
        <v>Frenchman Flood Flow</v>
      </c>
      <c r="B26" s="152">
        <f>+INPUT!C205</f>
        <v>0</v>
      </c>
    </row>
    <row r="27" spans="1:2" ht="12.75">
      <c r="A27" s="167" t="s">
        <v>84</v>
      </c>
      <c r="B27" s="17"/>
    </row>
    <row r="28" spans="1:2" ht="15.75">
      <c r="A28" s="10" t="s">
        <v>266</v>
      </c>
      <c r="B28" s="17"/>
    </row>
    <row r="29" spans="1:2" ht="12.75">
      <c r="A29" s="8" t="s">
        <v>0</v>
      </c>
      <c r="B29" s="17"/>
    </row>
    <row r="30" spans="1:2" ht="12.75">
      <c r="A30" s="17" t="str">
        <f>'NORTH FORK'!A28</f>
        <v>GW CBCU</v>
      </c>
      <c r="B30" s="17">
        <f>+B6</f>
        <v>37</v>
      </c>
    </row>
    <row r="31" spans="1:2" ht="12.75">
      <c r="A31" s="17" t="str">
        <f>'NORTH FORK'!A29</f>
        <v>Total CBCU</v>
      </c>
      <c r="B31" s="80">
        <f>(ROUND(SUM(B30:B30),-1))</f>
        <v>40</v>
      </c>
    </row>
    <row r="32" spans="1:2" ht="12.75">
      <c r="A32" s="17" t="s">
        <v>84</v>
      </c>
      <c r="B32" s="17"/>
    </row>
    <row r="33" spans="1:2" ht="12.75">
      <c r="A33" s="8" t="s">
        <v>184</v>
      </c>
      <c r="B33" s="17"/>
    </row>
    <row r="34" spans="1:2" ht="12.75">
      <c r="A34" s="17" t="str">
        <f>'NORTH FORK'!A28</f>
        <v>GW CBCU</v>
      </c>
      <c r="B34" s="17">
        <f>+B7</f>
        <v>0</v>
      </c>
    </row>
    <row r="35" spans="1:2" ht="12.75">
      <c r="A35" s="17" t="str">
        <f>'NORTH FORK'!A29</f>
        <v>Total CBCU</v>
      </c>
      <c r="B35" s="80">
        <f>(ROUND(SUM(B34:B34),-1))</f>
        <v>0</v>
      </c>
    </row>
    <row r="36" spans="1:2" ht="12.75">
      <c r="A36" s="17" t="s">
        <v>84</v>
      </c>
      <c r="B36" s="17"/>
    </row>
    <row r="37" spans="1:2" ht="12.75">
      <c r="A37" s="8" t="s">
        <v>1</v>
      </c>
      <c r="B37" s="17"/>
    </row>
    <row r="38" spans="1:2" ht="12.75">
      <c r="A38" s="17" t="str">
        <f>(LEFT(A18,14))&amp;" "&amp;"CBCU"</f>
        <v>Champion Canal CBCU</v>
      </c>
      <c r="B38" s="17">
        <f>+B18*CanalCUPercent</f>
        <v>0</v>
      </c>
    </row>
    <row r="39" spans="1:2" ht="12.75">
      <c r="A39" s="17" t="str">
        <f>(LEFT(A19,15))&amp;" "&amp;"CBCU"</f>
        <v>Riverside Canal CBCU</v>
      </c>
      <c r="B39" s="17">
        <f>+B19*CanalCUPercent</f>
        <v>1102.8</v>
      </c>
    </row>
    <row r="40" spans="1:2" ht="12.75">
      <c r="A40" s="17" t="str">
        <f>(LEFT(A20,16))&amp;" "&amp;"CBCU"</f>
        <v>Culbertson Canal CBCU</v>
      </c>
      <c r="B40" s="17">
        <f>+B20*(1-B11)</f>
        <v>3520.8799999999997</v>
      </c>
    </row>
    <row r="41" spans="1:2" ht="12.75">
      <c r="A41" s="17" t="str">
        <f>(LEFT(A21,27))&amp;" "&amp;"CBCU"</f>
        <v>Culbertson Canal Extension  CBCU</v>
      </c>
      <c r="B41" s="143">
        <f>+B21*(1-B12)</f>
        <v>0</v>
      </c>
    </row>
    <row r="42" spans="1:2" ht="12.75">
      <c r="A42" s="80" t="str">
        <f>'NORTH FORK'!A23</f>
        <v>SW CBCU - Irrigation - Non Federal Canals</v>
      </c>
      <c r="B42" s="168">
        <f>B22*CanalCUPercent</f>
        <v>0</v>
      </c>
    </row>
    <row r="43" spans="1:2" ht="12.75">
      <c r="A43" s="80" t="str">
        <f>'NORTH FORK'!A24</f>
        <v>SW CBCU - Irrigation - Small Pumps</v>
      </c>
      <c r="B43" s="168">
        <f>B23*PumperCUPercent</f>
        <v>2.3175</v>
      </c>
    </row>
    <row r="44" spans="1:2" ht="12.75">
      <c r="A44" s="80" t="str">
        <f>'NORTH FORK'!A25</f>
        <v>SW CBCU - M&amp;I</v>
      </c>
      <c r="B44" s="143">
        <f>B24*MI_CUPercent</f>
        <v>0</v>
      </c>
    </row>
    <row r="45" spans="1:2" ht="12.75">
      <c r="A45" s="17" t="str">
        <f>A16</f>
        <v>Enders Reservoir Evaporation</v>
      </c>
      <c r="B45" s="80">
        <f>+B16</f>
        <v>1485</v>
      </c>
    </row>
    <row r="46" spans="1:2" ht="12.75">
      <c r="A46" s="143" t="str">
        <f>'NORTH FORK'!A26</f>
        <v>Non-Federal Reservoir Evaporation</v>
      </c>
      <c r="B46" s="17">
        <f>B25</f>
        <v>0</v>
      </c>
    </row>
    <row r="47" spans="1:3" ht="12.75">
      <c r="A47" s="143" t="str">
        <f>'NORTH FORK'!A27</f>
        <v>SW CBCU</v>
      </c>
      <c r="B47" s="168">
        <f>SUM(B38:B44)+SUM(B45:B46)</f>
        <v>6110.9974999999995</v>
      </c>
      <c r="C47" s="77"/>
    </row>
    <row r="48" spans="1:2" ht="12.75">
      <c r="A48" s="143" t="str">
        <f>'NORTH FORK'!A28</f>
        <v>GW CBCU</v>
      </c>
      <c r="B48" s="17">
        <f>+B8</f>
        <v>85647</v>
      </c>
    </row>
    <row r="49" spans="1:2" ht="12.75">
      <c r="A49" s="143" t="str">
        <f>'NORTH FORK'!A29</f>
        <v>Total CBCU</v>
      </c>
      <c r="B49" s="80">
        <f>(ROUND(SUM(B47:B48),-1))</f>
        <v>91760</v>
      </c>
    </row>
    <row r="50" spans="1:2" ht="12.75">
      <c r="A50" s="143" t="s">
        <v>84</v>
      </c>
      <c r="B50" s="17"/>
    </row>
    <row r="51" spans="1:2" ht="12.75">
      <c r="A51" s="5" t="s">
        <v>185</v>
      </c>
      <c r="B51" s="17"/>
    </row>
    <row r="52" spans="1:2" ht="12.75">
      <c r="A52" s="143" t="str">
        <f>'NORTH FORK'!A42</f>
        <v>Total SW CBCU</v>
      </c>
      <c r="B52" s="80">
        <f>B47</f>
        <v>6110.9974999999995</v>
      </c>
    </row>
    <row r="53" spans="1:2" ht="12.75">
      <c r="A53" s="143" t="str">
        <f>'NORTH FORK'!A43</f>
        <v>Total GW CBCU</v>
      </c>
      <c r="B53" s="80">
        <f>+B30+B34+B48</f>
        <v>85684</v>
      </c>
    </row>
    <row r="54" spans="1:2" ht="12.75">
      <c r="A54" s="143" t="str">
        <f>'NORTH FORK'!A44</f>
        <v>Total Basin CBCU</v>
      </c>
      <c r="B54" s="80">
        <f>(ROUND(SUM(B52:B53),-1))</f>
        <v>91790</v>
      </c>
    </row>
    <row r="55" spans="1:2" ht="12.75">
      <c r="A55" s="143" t="s">
        <v>84</v>
      </c>
      <c r="B55" s="17"/>
    </row>
    <row r="56" spans="1:2" ht="15.75">
      <c r="A56" s="11" t="s">
        <v>10</v>
      </c>
      <c r="B56" s="17"/>
    </row>
    <row r="57" spans="1:2" ht="12.75">
      <c r="A57" s="17" t="str">
        <f>A15</f>
        <v>Frenchman Creek At Culbertson</v>
      </c>
      <c r="B57" s="80">
        <f>B15</f>
        <v>13360</v>
      </c>
    </row>
    <row r="58" spans="1:3" ht="12.75">
      <c r="A58" s="17" t="s">
        <v>519</v>
      </c>
      <c r="B58" s="80">
        <f>0.17*(B20*B11)</f>
        <v>761.7904000000002</v>
      </c>
      <c r="C58" s="77"/>
    </row>
    <row r="59" spans="1:3" ht="12.75">
      <c r="A59" s="17" t="s">
        <v>520</v>
      </c>
      <c r="B59" s="80">
        <f>B21*B12</f>
        <v>0</v>
      </c>
      <c r="C59" s="77"/>
    </row>
    <row r="60" spans="1:2" ht="12.75">
      <c r="A60" s="17" t="str">
        <f>'NORTH FORK'!A49</f>
        <v>Colorado CBCU</v>
      </c>
      <c r="B60" s="80">
        <f>+B31</f>
        <v>40</v>
      </c>
    </row>
    <row r="61" spans="1:2" ht="12.75">
      <c r="A61" s="17" t="str">
        <f>'NORTH FORK'!A50</f>
        <v>Kansas CBCU</v>
      </c>
      <c r="B61" s="80">
        <f>+B35</f>
        <v>0</v>
      </c>
    </row>
    <row r="62" spans="1:2" ht="12.75">
      <c r="A62" s="17" t="str">
        <f>'NORTH FORK'!A51</f>
        <v>Nebraska CBCU</v>
      </c>
      <c r="B62" s="80">
        <f>+B49</f>
        <v>91760</v>
      </c>
    </row>
    <row r="63" spans="1:2" ht="12.75">
      <c r="A63" s="17" t="str">
        <f>A17</f>
        <v>Enders Reservoir Change In Storage</v>
      </c>
      <c r="B63" s="17">
        <f>+B17</f>
        <v>-218</v>
      </c>
    </row>
    <row r="64" spans="1:3" ht="12.75">
      <c r="A64" s="17" t="str">
        <f>'NORTH FORK'!A52</f>
        <v>Imported Water</v>
      </c>
      <c r="B64" s="17">
        <f>B5</f>
        <v>0</v>
      </c>
      <c r="C64" s="77"/>
    </row>
    <row r="65" spans="1:2" ht="12.75">
      <c r="A65" s="17" t="str">
        <f>'NORTH FORK'!A53</f>
        <v>Virgin Water Supply</v>
      </c>
      <c r="B65" s="80">
        <f>ROUND(SUM(B57:B63)-B64,-1)</f>
        <v>105700</v>
      </c>
    </row>
    <row r="66" spans="1:2" ht="12.75">
      <c r="A66" s="17" t="str">
        <f>'NORTH FORK'!A54</f>
        <v>Adjustment For Flood Flows</v>
      </c>
      <c r="B66" s="17">
        <f>B26</f>
        <v>0</v>
      </c>
    </row>
    <row r="67" spans="1:2" ht="12.75">
      <c r="A67" s="17" t="str">
        <f>'NORTH FORK'!A55</f>
        <v>Computed Water Supply</v>
      </c>
      <c r="B67" s="80">
        <f>ROUND(+B65-B66-B63,-1)</f>
        <v>105920</v>
      </c>
    </row>
    <row r="68" spans="1:2" ht="12.75">
      <c r="A68" s="143" t="s">
        <v>84</v>
      </c>
      <c r="B68" s="17"/>
    </row>
    <row r="69" spans="1:2" ht="15.75">
      <c r="A69" s="11" t="s">
        <v>12</v>
      </c>
      <c r="B69" s="13"/>
    </row>
    <row r="70" spans="1:2" ht="12.75">
      <c r="A70" s="17" t="str">
        <f>'NORTH FORK'!A58</f>
        <v>Colorado Percent Of Allocation</v>
      </c>
      <c r="B70" s="171">
        <f>'T2'!D8</f>
        <v>0</v>
      </c>
    </row>
    <row r="71" spans="1:2" ht="12.75">
      <c r="A71" s="17" t="str">
        <f>'NORTH FORK'!A59</f>
        <v>Colorado Allocation</v>
      </c>
      <c r="B71" s="80">
        <f>ROUND(+B67*B70,-1)</f>
        <v>0</v>
      </c>
    </row>
    <row r="72" spans="1:2" ht="12.75">
      <c r="A72" s="17" t="str">
        <f>'NORTH FORK'!A60</f>
        <v>Kansas Percent Of Allocation</v>
      </c>
      <c r="B72" s="171">
        <f>'T2'!F8</f>
        <v>0</v>
      </c>
    </row>
    <row r="73" spans="1:2" ht="12.75">
      <c r="A73" s="2" t="str">
        <f>'NORTH FORK'!A61</f>
        <v>Kansas Allocation</v>
      </c>
      <c r="B73" s="4">
        <f>ROUND(B67*B72,-1)</f>
        <v>0</v>
      </c>
    </row>
    <row r="74" spans="1:2" ht="12.75">
      <c r="A74" s="2" t="str">
        <f>'NORTH FORK'!A62</f>
        <v>Nebraska Percent Of Allocation</v>
      </c>
      <c r="B74" s="16">
        <f>'T2'!H8</f>
        <v>0.536</v>
      </c>
    </row>
    <row r="75" spans="1:2" ht="12.75">
      <c r="A75" s="2" t="str">
        <f>'NORTH FORK'!A63</f>
        <v>Nebraska Allocation</v>
      </c>
      <c r="B75" s="4">
        <f>ROUND(B67*B74,-1)</f>
        <v>56770</v>
      </c>
    </row>
    <row r="76" spans="1:2" ht="12.75">
      <c r="A76" s="2" t="str">
        <f>'NORTH FORK'!A64</f>
        <v>Total Basin Allocation</v>
      </c>
      <c r="B76" s="4">
        <f>+B71+B73+B75</f>
        <v>56770</v>
      </c>
    </row>
    <row r="77" spans="1:2" ht="12.75">
      <c r="A77" s="2" t="str">
        <f>'NORTH FORK'!A65</f>
        <v>Percent Of Supply Not Allocated</v>
      </c>
      <c r="B77" s="16">
        <f>'T2'!J8</f>
        <v>0.464</v>
      </c>
    </row>
    <row r="78" spans="1:2" ht="12.75">
      <c r="A78" s="2" t="str">
        <f>'NORTH FORK'!A66</f>
        <v>Quantity Of Unallocated Supply</v>
      </c>
      <c r="B78" s="4">
        <f>+B67-B71-B73-B75</f>
        <v>49150</v>
      </c>
    </row>
  </sheetData>
  <sheetProtection/>
  <printOptions headings="1"/>
  <pageMargins left="0.75" right="0.75" top="0.75" bottom="0.5" header="0.25" footer="0.5"/>
  <pageSetup fitToHeight="2" fitToWidth="1" horizontalDpi="600" verticalDpi="600" orientation="portrait" paperSize="3" r:id="rId1"/>
  <headerFooter alignWithMargins="0">
    <oddHeader>&amp;LRRCA 
Compact Accounting&amp;C&amp;A SUB-BASIN&amp;RPage &amp;P of &amp;N</oddHeader>
  </headerFooter>
  <rowBreaks count="1" manualBreakCount="1">
    <brk id="49" max="2" man="1"/>
  </rowBreaks>
</worksheet>
</file>

<file path=xl/worksheets/sheet9.xml><?xml version="1.0" encoding="utf-8"?>
<worksheet xmlns="http://schemas.openxmlformats.org/spreadsheetml/2006/main" xmlns:r="http://schemas.openxmlformats.org/officeDocument/2006/relationships">
  <sheetPr codeName="Sheet9">
    <pageSetUpPr fitToPage="1"/>
  </sheetPr>
  <dimension ref="A1:C74"/>
  <sheetViews>
    <sheetView zoomScalePageLayoutView="0" workbookViewId="0" topLeftCell="A1">
      <selection activeCell="A1" sqref="A1"/>
    </sheetView>
  </sheetViews>
  <sheetFormatPr defaultColWidth="9.140625" defaultRowHeight="12.75"/>
  <cols>
    <col min="1" max="1" width="69.28125" style="0" customWidth="1"/>
    <col min="2" max="2" width="7.7109375" style="0" customWidth="1"/>
  </cols>
  <sheetData>
    <row r="1" spans="1:2" ht="15.75">
      <c r="A1" s="62" t="s">
        <v>230</v>
      </c>
      <c r="B1">
        <v>2003</v>
      </c>
    </row>
    <row r="2" ht="12.75"/>
    <row r="3" ht="15.75">
      <c r="A3" s="10" t="s">
        <v>180</v>
      </c>
    </row>
    <row r="4" ht="12.75">
      <c r="A4" s="8" t="s">
        <v>181</v>
      </c>
    </row>
    <row r="5" spans="1:2" ht="12.75">
      <c r="A5" s="55" t="str">
        <f>+INPUT!B52</f>
        <v>Imported Water Nebraska</v>
      </c>
      <c r="B5" s="55">
        <f>+INPUT!C52</f>
        <v>0</v>
      </c>
    </row>
    <row r="6" spans="1:2" ht="12.75">
      <c r="A6" s="55" t="str">
        <f>+INPUT!B22</f>
        <v>GW CBCU Colorado</v>
      </c>
      <c r="B6" s="55">
        <f>+INPUT!C22</f>
        <v>0</v>
      </c>
    </row>
    <row r="7" spans="1:2" ht="12.75">
      <c r="A7" s="55" t="str">
        <f>+INPUT!B23</f>
        <v>GW CBCU Kansas</v>
      </c>
      <c r="B7" s="55">
        <f>+INPUT!C23</f>
        <v>0</v>
      </c>
    </row>
    <row r="8" spans="1:2" ht="12" customHeight="1">
      <c r="A8" s="55" t="str">
        <f>+INPUT!B24</f>
        <v>GW CBCU Nebraska</v>
      </c>
      <c r="B8" s="55">
        <f>+INPUT!C24</f>
        <v>1391</v>
      </c>
    </row>
    <row r="9" spans="1:2" ht="12.75">
      <c r="A9" s="2" t="s">
        <v>84</v>
      </c>
      <c r="B9" s="2"/>
    </row>
    <row r="10" spans="1:2" ht="12.75">
      <c r="A10" s="5" t="s">
        <v>216</v>
      </c>
      <c r="B10" s="2"/>
    </row>
    <row r="11" spans="1:2" ht="12.75">
      <c r="A11" s="60" t="str">
        <f>+INPUT!B243</f>
        <v>Meeker-Driftwood Canal % Return Flow</v>
      </c>
      <c r="B11" s="60">
        <f>+INPUT!C243</f>
        <v>1</v>
      </c>
    </row>
    <row r="12" spans="1:2" ht="12.75">
      <c r="A12" s="2" t="s">
        <v>84</v>
      </c>
      <c r="B12" s="2"/>
    </row>
    <row r="13" spans="1:2" ht="12.75">
      <c r="A13" s="5" t="s">
        <v>183</v>
      </c>
      <c r="B13" s="2"/>
    </row>
    <row r="14" spans="1:2" ht="12.75">
      <c r="A14" s="55" t="str">
        <f>+INPUT!B189</f>
        <v>Driftwood Creek Near McCook</v>
      </c>
      <c r="B14" s="55">
        <f>+INPUT!C189</f>
        <v>1100</v>
      </c>
    </row>
    <row r="15" spans="1:2" ht="12.75">
      <c r="A15" s="55" t="str">
        <f>+INPUT!B95</f>
        <v>SW Diversions - Irrigation - Non-Federal Canals- Kansas</v>
      </c>
      <c r="B15" s="55">
        <f>+INPUT!C95</f>
        <v>0</v>
      </c>
    </row>
    <row r="16" spans="1:2" ht="12.75">
      <c r="A16" s="55" t="str">
        <f>+INPUT!B96</f>
        <v>SW Diversions - Irrigation - Small Pumps - Kansas</v>
      </c>
      <c r="B16" s="55">
        <f>+INPUT!C96</f>
        <v>0</v>
      </c>
    </row>
    <row r="17" spans="1:2" ht="12.75">
      <c r="A17" s="55" t="str">
        <f>+INPUT!B97</f>
        <v>SW Diversions - M&amp;I - Kansas</v>
      </c>
      <c r="B17" s="55">
        <f>+INPUT!C97</f>
        <v>0</v>
      </c>
    </row>
    <row r="18" spans="1:2" ht="12.75">
      <c r="A18" s="55" t="str">
        <f>+INPUT!B242</f>
        <v>Meeker-Driftwood Canal Diversions</v>
      </c>
      <c r="B18" s="55">
        <f>+INPUT!C242</f>
        <v>0</v>
      </c>
    </row>
    <row r="19" spans="1:2" ht="12.75">
      <c r="A19" s="152" t="str">
        <f>+INPUT!B98</f>
        <v>SW Diversions - Irrigation - Non-Federal Canals - Nebraska</v>
      </c>
      <c r="B19" s="152">
        <f>+INPUT!C98</f>
        <v>0</v>
      </c>
    </row>
    <row r="20" spans="1:2" ht="12.75">
      <c r="A20" s="152" t="str">
        <f>+INPUT!B99</f>
        <v>SW Diversions - Irrigation - Small Pumps - Nebraska</v>
      </c>
      <c r="B20" s="152">
        <f>+INPUT!C99</f>
        <v>0</v>
      </c>
    </row>
    <row r="21" spans="1:2" ht="12.75">
      <c r="A21" s="152" t="str">
        <f>+INPUT!B100</f>
        <v>SW Diversions - M&amp;I - Nebraska</v>
      </c>
      <c r="B21" s="152">
        <f>+INPUT!C100</f>
        <v>0</v>
      </c>
    </row>
    <row r="22" spans="1:2" ht="12.75">
      <c r="A22" s="152" t="str">
        <f>+INPUT!B165</f>
        <v>Non-Federal Reservoir Evaporation - Kansas</v>
      </c>
      <c r="B22" s="152">
        <f>+INPUT!C165</f>
        <v>0</v>
      </c>
    </row>
    <row r="23" spans="1:2" ht="12.75">
      <c r="A23" s="152" t="str">
        <f>+INPUT!B166</f>
        <v>Non-Federal Reservoir Evaporation - Nebraska</v>
      </c>
      <c r="B23" s="152">
        <f>+INPUT!C166</f>
        <v>0</v>
      </c>
    </row>
    <row r="24" spans="1:2" ht="12.75">
      <c r="A24" s="152" t="str">
        <f>+INPUT!B206</f>
        <v>Driftwood Flood Flow</v>
      </c>
      <c r="B24" s="152">
        <f>+INPUT!C206</f>
        <v>0</v>
      </c>
    </row>
    <row r="25" spans="1:2" ht="12.75">
      <c r="A25" s="167" t="s">
        <v>84</v>
      </c>
      <c r="B25" s="17"/>
    </row>
    <row r="26" spans="1:2" ht="15.75">
      <c r="A26" s="10" t="s">
        <v>266</v>
      </c>
      <c r="B26" s="17"/>
    </row>
    <row r="27" spans="1:2" ht="12.75">
      <c r="A27" s="8" t="s">
        <v>0</v>
      </c>
      <c r="B27" s="17"/>
    </row>
    <row r="28" spans="1:2" ht="12.75">
      <c r="A28" s="17" t="str">
        <f>'NORTH FORK'!A28</f>
        <v>GW CBCU</v>
      </c>
      <c r="B28" s="17">
        <f>+B6</f>
        <v>0</v>
      </c>
    </row>
    <row r="29" spans="1:2" ht="12.75">
      <c r="A29" s="17" t="str">
        <f>'NORTH FORK'!A29</f>
        <v>Total CBCU</v>
      </c>
      <c r="B29" s="80">
        <f>(ROUND(SUM(B28:B28),-1))</f>
        <v>0</v>
      </c>
    </row>
    <row r="30" spans="1:2" ht="12.75">
      <c r="A30" s="17" t="s">
        <v>84</v>
      </c>
      <c r="B30" s="17"/>
    </row>
    <row r="31" spans="1:2" ht="12.75">
      <c r="A31" s="8" t="s">
        <v>184</v>
      </c>
      <c r="B31" s="17"/>
    </row>
    <row r="32" spans="1:2" ht="12.75">
      <c r="A32" s="17" t="str">
        <f>'NORTH FORK'!A23</f>
        <v>SW CBCU - Irrigation - Non Federal Canals</v>
      </c>
      <c r="B32" s="17">
        <f>+B15*CanalCUPercent</f>
        <v>0</v>
      </c>
    </row>
    <row r="33" spans="1:2" ht="12.75">
      <c r="A33" s="17" t="str">
        <f>'NORTH FORK'!A24</f>
        <v>SW CBCU - Irrigation - Small Pumps</v>
      </c>
      <c r="B33" s="17">
        <f>+B16*PumperCUPercent</f>
        <v>0</v>
      </c>
    </row>
    <row r="34" spans="1:2" ht="12.75">
      <c r="A34" s="17" t="str">
        <f>'NORTH FORK'!A25</f>
        <v>SW CBCU - M&amp;I</v>
      </c>
      <c r="B34" s="17">
        <f>+B17*MI_CUPercent</f>
        <v>0</v>
      </c>
    </row>
    <row r="35" spans="1:2" ht="12.75">
      <c r="A35" s="143" t="str">
        <f>'NORTH FORK'!A26</f>
        <v>Non-Federal Reservoir Evaporation</v>
      </c>
      <c r="B35" s="17">
        <f>B22</f>
        <v>0</v>
      </c>
    </row>
    <row r="36" spans="1:3" ht="12.75">
      <c r="A36" s="17" t="str">
        <f>'NORTH FORK'!A27</f>
        <v>SW CBCU</v>
      </c>
      <c r="B36" s="80">
        <f>B32+B33+B34+B35</f>
        <v>0</v>
      </c>
      <c r="C36" s="77"/>
    </row>
    <row r="37" spans="1:2" ht="12.75">
      <c r="A37" s="17" t="str">
        <f>'NORTH FORK'!A28</f>
        <v>GW CBCU</v>
      </c>
      <c r="B37" s="17">
        <f>+B7</f>
        <v>0</v>
      </c>
    </row>
    <row r="38" spans="1:2" ht="12.75">
      <c r="A38" s="17" t="str">
        <f>'NORTH FORK'!A29</f>
        <v>Total CBCU</v>
      </c>
      <c r="B38" s="80">
        <f>(ROUND(SUM(B36:B37),-1))</f>
        <v>0</v>
      </c>
    </row>
    <row r="39" spans="1:2" ht="12.75">
      <c r="A39" s="17" t="s">
        <v>84</v>
      </c>
      <c r="B39" s="17"/>
    </row>
    <row r="40" spans="1:2" ht="12.75">
      <c r="A40" s="8" t="s">
        <v>1</v>
      </c>
      <c r="B40" s="17"/>
    </row>
    <row r="41" spans="1:2" ht="12.75">
      <c r="A41" s="12" t="str">
        <f>'NORTH FORK'!A23</f>
        <v>SW CBCU - Irrigation - Non Federal Canals</v>
      </c>
      <c r="B41" s="80">
        <f>B19*CanalCUPercent</f>
        <v>0</v>
      </c>
    </row>
    <row r="42" spans="1:2" ht="12.75">
      <c r="A42" s="12" t="str">
        <f>'NORTH FORK'!A24</f>
        <v>SW CBCU - Irrigation - Small Pumps</v>
      </c>
      <c r="B42" s="80">
        <f>B20*PumperCUPercent</f>
        <v>0</v>
      </c>
    </row>
    <row r="43" spans="1:2" ht="12.75">
      <c r="A43" s="12" t="str">
        <f>'NORTH FORK'!A25</f>
        <v>SW CBCU - M&amp;I</v>
      </c>
      <c r="B43" s="17">
        <f>B21*MI_CUPercent</f>
        <v>0</v>
      </c>
    </row>
    <row r="44" spans="1:2" ht="12.75">
      <c r="A44" s="17" t="str">
        <f>'NORTH FORK'!A26</f>
        <v>Non-Federal Reservoir Evaporation</v>
      </c>
      <c r="B44" s="17">
        <f>B23</f>
        <v>0</v>
      </c>
    </row>
    <row r="45" spans="1:3" ht="12.75">
      <c r="A45" s="17" t="str">
        <f>'NORTH FORK'!A27</f>
        <v>SW CBCU</v>
      </c>
      <c r="B45" s="80">
        <f>B41+B42+B43+B44</f>
        <v>0</v>
      </c>
      <c r="C45" s="77"/>
    </row>
    <row r="46" spans="1:2" ht="12.75">
      <c r="A46" s="17" t="str">
        <f>'NORTH FORK'!A28</f>
        <v>GW CBCU</v>
      </c>
      <c r="B46" s="17">
        <f>+B8</f>
        <v>1391</v>
      </c>
    </row>
    <row r="47" spans="1:2" ht="12.75">
      <c r="A47" s="17" t="str">
        <f>'NORTH FORK'!A29</f>
        <v>Total CBCU</v>
      </c>
      <c r="B47" s="80">
        <f>(ROUND(SUM(B45:B46),-1))</f>
        <v>1390</v>
      </c>
    </row>
    <row r="48" spans="1:2" ht="12.75">
      <c r="A48" s="143" t="s">
        <v>84</v>
      </c>
      <c r="B48" s="17"/>
    </row>
    <row r="49" spans="1:2" ht="12.75">
      <c r="A49" s="5" t="s">
        <v>185</v>
      </c>
      <c r="B49" s="17"/>
    </row>
    <row r="50" spans="1:2" ht="12.75">
      <c r="A50" s="143" t="str">
        <f>'NORTH FORK'!A42</f>
        <v>Total SW CBCU</v>
      </c>
      <c r="B50" s="80">
        <f>+B36+B45</f>
        <v>0</v>
      </c>
    </row>
    <row r="51" spans="1:2" ht="12.75">
      <c r="A51" s="143" t="str">
        <f>'NORTH FORK'!A43</f>
        <v>Total GW CBCU</v>
      </c>
      <c r="B51" s="80">
        <f>+B28+B37+B46</f>
        <v>1391</v>
      </c>
    </row>
    <row r="52" spans="1:2" ht="12.75">
      <c r="A52" s="143" t="str">
        <f>'NORTH FORK'!A44</f>
        <v>Total Basin CBCU</v>
      </c>
      <c r="B52" s="80">
        <f>(ROUND(SUM(B50:B51),-1))</f>
        <v>1390</v>
      </c>
    </row>
    <row r="53" spans="1:2" ht="12.75">
      <c r="A53" s="143" t="s">
        <v>84</v>
      </c>
      <c r="B53" s="17"/>
    </row>
    <row r="54" spans="1:2" ht="15.75">
      <c r="A54" s="11" t="s">
        <v>10</v>
      </c>
      <c r="B54" s="17"/>
    </row>
    <row r="55" spans="1:2" ht="12.75">
      <c r="A55" s="80" t="str">
        <f>A14</f>
        <v>Driftwood Creek Near McCook</v>
      </c>
      <c r="B55" s="80">
        <f>B14</f>
        <v>1100</v>
      </c>
    </row>
    <row r="56" spans="1:2" ht="12.75">
      <c r="A56" s="17" t="s">
        <v>231</v>
      </c>
      <c r="B56" s="80">
        <f>0.24*B18*B11</f>
        <v>0</v>
      </c>
    </row>
    <row r="57" spans="1:2" ht="12.75">
      <c r="A57" s="17" t="str">
        <f>'NORTH FORK'!A49</f>
        <v>Colorado CBCU</v>
      </c>
      <c r="B57" s="80">
        <f>+B29</f>
        <v>0</v>
      </c>
    </row>
    <row r="58" spans="1:2" ht="12.75">
      <c r="A58" s="17" t="str">
        <f>'NORTH FORK'!A50</f>
        <v>Kansas CBCU</v>
      </c>
      <c r="B58" s="80">
        <f>+B38</f>
        <v>0</v>
      </c>
    </row>
    <row r="59" spans="1:2" ht="12.75">
      <c r="A59" s="17" t="str">
        <f>'NORTH FORK'!A51</f>
        <v>Nebraska CBCU</v>
      </c>
      <c r="B59" s="80">
        <f>+B47</f>
        <v>1390</v>
      </c>
    </row>
    <row r="60" spans="1:3" ht="12.75">
      <c r="A60" s="17" t="str">
        <f>'NORTH FORK'!A52</f>
        <v>Imported Water</v>
      </c>
      <c r="B60" s="17">
        <f>+B5</f>
        <v>0</v>
      </c>
      <c r="C60" s="77"/>
    </row>
    <row r="61" spans="1:2" ht="12.75">
      <c r="A61" s="17" t="str">
        <f>'NORTH FORK'!A53</f>
        <v>Virgin Water Supply</v>
      </c>
      <c r="B61" s="80">
        <f>ROUND(SUM(B55,B57:B59)-B60-B56,-1)</f>
        <v>2490</v>
      </c>
    </row>
    <row r="62" spans="1:2" ht="12.75">
      <c r="A62" s="17" t="str">
        <f>'NORTH FORK'!A54</f>
        <v>Adjustment For Flood Flows</v>
      </c>
      <c r="B62" s="17">
        <f>B24</f>
        <v>0</v>
      </c>
    </row>
    <row r="63" spans="1:2" ht="12.75">
      <c r="A63" s="17" t="str">
        <f>'NORTH FORK'!A55</f>
        <v>Computed Water Supply</v>
      </c>
      <c r="B63" s="80">
        <f>ROUND(+B61-B62,-1)</f>
        <v>2490</v>
      </c>
    </row>
    <row r="64" spans="1:2" ht="12.75">
      <c r="A64" s="143" t="s">
        <v>84</v>
      </c>
      <c r="B64" s="17"/>
    </row>
    <row r="65" spans="1:2" ht="15.75">
      <c r="A65" s="11" t="s">
        <v>12</v>
      </c>
      <c r="B65" s="13"/>
    </row>
    <row r="66" spans="1:2" ht="12.75">
      <c r="A66" s="17" t="str">
        <f>'NORTH FORK'!A58</f>
        <v>Colorado Percent Of Allocation</v>
      </c>
      <c r="B66" s="171">
        <f>'T2'!D9</f>
        <v>0</v>
      </c>
    </row>
    <row r="67" spans="1:2" ht="12.75">
      <c r="A67" s="2" t="str">
        <f>'NORTH FORK'!A59</f>
        <v>Colorado Allocation</v>
      </c>
      <c r="B67" s="4">
        <f>ROUND(+B63*B66,-1)</f>
        <v>0</v>
      </c>
    </row>
    <row r="68" spans="1:2" ht="12.75">
      <c r="A68" s="2" t="str">
        <f>'NORTH FORK'!A60</f>
        <v>Kansas Percent Of Allocation</v>
      </c>
      <c r="B68" s="16">
        <f>'T2'!F9</f>
        <v>0.069</v>
      </c>
    </row>
    <row r="69" spans="1:2" ht="12.75">
      <c r="A69" s="2" t="str">
        <f>'NORTH FORK'!A61</f>
        <v>Kansas Allocation</v>
      </c>
      <c r="B69" s="4">
        <f>ROUND(B63*B68,-1)</f>
        <v>170</v>
      </c>
    </row>
    <row r="70" spans="1:2" ht="12.75">
      <c r="A70" s="2" t="str">
        <f>'NORTH FORK'!A62</f>
        <v>Nebraska Percent Of Allocation</v>
      </c>
      <c r="B70" s="16">
        <f>'T2'!H9</f>
        <v>0.164</v>
      </c>
    </row>
    <row r="71" spans="1:2" ht="12.75">
      <c r="A71" s="2" t="str">
        <f>'NORTH FORK'!A63</f>
        <v>Nebraska Allocation</v>
      </c>
      <c r="B71" s="4">
        <f>ROUND(B63*B70,-1)</f>
        <v>410</v>
      </c>
    </row>
    <row r="72" spans="1:2" ht="12.75">
      <c r="A72" s="2" t="str">
        <f>'NORTH FORK'!A64</f>
        <v>Total Basin Allocation</v>
      </c>
      <c r="B72" s="4">
        <f>+B67+B69+B71</f>
        <v>580</v>
      </c>
    </row>
    <row r="73" spans="1:2" ht="12.75">
      <c r="A73" s="2" t="str">
        <f>'NORTH FORK'!A65</f>
        <v>Percent Of Supply Not Allocated</v>
      </c>
      <c r="B73" s="16">
        <f>'T2'!J9</f>
        <v>0.767</v>
      </c>
    </row>
    <row r="74" spans="1:2" ht="12.75">
      <c r="A74" s="2" t="str">
        <f>'NORTH FORK'!A66</f>
        <v>Quantity Of Unallocated Supply</v>
      </c>
      <c r="B74" s="4">
        <f>+B63-B67-B69-B71</f>
        <v>1910</v>
      </c>
    </row>
  </sheetData>
  <sheetProtection/>
  <printOptions headings="1"/>
  <pageMargins left="0.75" right="0.75" top="0.75" bottom="0.5" header="0.25" footer="0.5"/>
  <pageSetup fitToHeight="2" fitToWidth="1" horizontalDpi="600" verticalDpi="600" orientation="portrait" paperSize="3" r:id="rId1"/>
  <headerFooter alignWithMargins="0">
    <oddHeader>&amp;LRRCA
Compact Accounting&amp;C&amp;A SUB-BASIN&amp;RPage &amp;P of &amp;N</oddHeader>
  </headerFooter>
  <rowBreaks count="1" manualBreakCount="1">
    <brk id="48"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Republican River Compact Administration Accounting Program</dc:title>
  <dc:subject/>
  <dc:creator>Nebraska Department Natural Resources</dc:creator>
  <cp:keywords/>
  <dc:description/>
  <cp:lastModifiedBy>Principia</cp:lastModifiedBy>
  <cp:lastPrinted>2005-01-10T19:28:36Z</cp:lastPrinted>
  <dcterms:created xsi:type="dcterms:W3CDTF">2002-10-16T14:29:03Z</dcterms:created>
  <dcterms:modified xsi:type="dcterms:W3CDTF">2016-07-18T15:18:10Z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ed by">
    <vt:lpwstr>Ann Bleed</vt:lpwstr>
  </property>
  <property fmtid="{D5CDD505-2E9C-101B-9397-08002B2CF9AE}" pid="3" name="Reformatted and checked by">
    <vt:lpwstr>Jeff Shafer and Lee Wilson</vt:lpwstr>
  </property>
  <property fmtid="{D5CDD505-2E9C-101B-9397-08002B2CF9AE}" pid="4" name="Checked by">
    <vt:lpwstr>Lee Wilson</vt:lpwstr>
  </property>
  <property fmtid="{D5CDD505-2E9C-101B-9397-08002B2CF9AE}" pid="5" name="Date completed">
    <vt:lpwstr>July 3, 2004</vt:lpwstr>
  </property>
  <property fmtid="{D5CDD505-2E9C-101B-9397-08002B2CF9AE}" pid="6" name="Forward to">
    <vt:lpwstr>RRCA Engineering Committee</vt:lpwstr>
  </property>
</Properties>
</file>